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hafee\Desktop\"/>
    </mc:Choice>
  </mc:AlternateContent>
  <bookViews>
    <workbookView xWindow="0" yWindow="0" windowWidth="20490" windowHeight="7755" firstSheet="2" activeTab="10"/>
  </bookViews>
  <sheets>
    <sheet name="myrtle" sheetId="8" r:id="rId1"/>
    <sheet name="lynxmania" sheetId="2" r:id="rId2"/>
    <sheet name="tbinta" sheetId="3" r:id="rId3"/>
    <sheet name="idchafee" sheetId="4" r:id="rId4"/>
    <sheet name="lumes" sheetId="1" r:id="rId5"/>
    <sheet name="cardinal" sheetId="5" r:id="rId6"/>
    <sheet name="hangtyme" sheetId="10" r:id="rId7"/>
    <sheet name="jspoon" sheetId="12" r:id="rId8"/>
    <sheet name="jlight" sheetId="11" r:id="rId9"/>
    <sheet name="souyouthink" sheetId="9" r:id="rId10"/>
    <sheet name="Totals" sheetId="6" r:id="rId11"/>
  </sheets>
  <definedNames>
    <definedName name="_xlnm._FilterDatabase" localSheetId="5" hidden="1">cardinal!$C$1:$C$232</definedName>
    <definedName name="_xlnm._FilterDatabase" localSheetId="3" hidden="1">idchafee!$C$1:$C$229</definedName>
    <definedName name="_xlnm._FilterDatabase" localSheetId="4" hidden="1">lumes!$C$1:$C$238</definedName>
    <definedName name="_xlnm._FilterDatabase" localSheetId="1" hidden="1">lynxmania!$C$1:$C$238</definedName>
    <definedName name="_xlnm._FilterDatabase" localSheetId="0" hidden="1">myrtle!$C$1:$C$263</definedName>
    <definedName name="_xlnm._FilterDatabase" localSheetId="2" hidden="1">tbinta!$C$1:$C$232</definedName>
  </definedNames>
  <calcPr calcId="152511"/>
</workbook>
</file>

<file path=xl/calcChain.xml><?xml version="1.0" encoding="utf-8"?>
<calcChain xmlns="http://schemas.openxmlformats.org/spreadsheetml/2006/main">
  <c r="F246" i="9" l="1"/>
  <c r="I246" i="9"/>
  <c r="L246" i="9"/>
  <c r="F247" i="9"/>
  <c r="I247" i="9"/>
  <c r="L247" i="9"/>
  <c r="F248" i="9"/>
  <c r="I248" i="9"/>
  <c r="L248" i="9"/>
  <c r="F249" i="9"/>
  <c r="I249" i="9"/>
  <c r="L249" i="9"/>
  <c r="F250" i="9"/>
  <c r="I250" i="9"/>
  <c r="L250" i="9"/>
  <c r="F251" i="9"/>
  <c r="I251" i="9"/>
  <c r="L251" i="9"/>
  <c r="F252" i="9"/>
  <c r="I252" i="9"/>
  <c r="L252" i="9"/>
  <c r="F253" i="9"/>
  <c r="I253" i="9"/>
  <c r="L253" i="9"/>
  <c r="F254" i="9"/>
  <c r="I254" i="9"/>
  <c r="L254" i="9"/>
  <c r="F255" i="9"/>
  <c r="I255" i="9"/>
  <c r="L255" i="9"/>
  <c r="F256" i="9"/>
  <c r="I256" i="9"/>
  <c r="L256" i="9"/>
  <c r="F192" i="11"/>
  <c r="I192" i="11"/>
  <c r="L192" i="11"/>
  <c r="F193" i="11"/>
  <c r="I193" i="11"/>
  <c r="L193" i="11"/>
  <c r="F194" i="11"/>
  <c r="I194" i="11"/>
  <c r="L194" i="11"/>
  <c r="F195" i="11"/>
  <c r="I195" i="11"/>
  <c r="L195" i="11"/>
  <c r="F231" i="12"/>
  <c r="I231" i="12"/>
  <c r="L231" i="12"/>
  <c r="F232" i="12"/>
  <c r="I232" i="12"/>
  <c r="L232" i="12"/>
  <c r="F233" i="12"/>
  <c r="I233" i="12"/>
  <c r="L233" i="12"/>
  <c r="F234" i="12"/>
  <c r="I234" i="12"/>
  <c r="L234" i="12"/>
  <c r="F235" i="12"/>
  <c r="I235" i="12"/>
  <c r="L235" i="12"/>
  <c r="F236" i="12"/>
  <c r="I236" i="12"/>
  <c r="L236" i="12"/>
  <c r="F237" i="12"/>
  <c r="I237" i="12"/>
  <c r="L237" i="12"/>
  <c r="F238" i="12"/>
  <c r="I238" i="12"/>
  <c r="L238" i="12"/>
  <c r="F239" i="12"/>
  <c r="I239" i="12"/>
  <c r="L239" i="12"/>
  <c r="F240" i="12"/>
  <c r="I240" i="12"/>
  <c r="L240" i="12"/>
  <c r="F241" i="12"/>
  <c r="I241" i="12"/>
  <c r="L241" i="12"/>
  <c r="F242" i="12"/>
  <c r="I242" i="12"/>
  <c r="L242" i="12"/>
  <c r="F226" i="10"/>
  <c r="I226" i="10"/>
  <c r="L226" i="10"/>
  <c r="F227" i="10"/>
  <c r="I227" i="10"/>
  <c r="L227" i="10"/>
  <c r="F228" i="10"/>
  <c r="I228" i="10"/>
  <c r="L228" i="10"/>
  <c r="F229" i="10"/>
  <c r="I229" i="10"/>
  <c r="L229" i="10"/>
  <c r="F230" i="10"/>
  <c r="I230" i="10"/>
  <c r="L230" i="10"/>
  <c r="F231" i="10"/>
  <c r="I231" i="10"/>
  <c r="L231" i="10"/>
  <c r="F232" i="10"/>
  <c r="I232" i="10"/>
  <c r="L232" i="10"/>
  <c r="F233" i="10"/>
  <c r="I233" i="10"/>
  <c r="L233" i="10"/>
  <c r="F234" i="10"/>
  <c r="I234" i="10"/>
  <c r="L234" i="10"/>
  <c r="F235" i="10"/>
  <c r="I235" i="10"/>
  <c r="L235" i="10"/>
  <c r="F236" i="10"/>
  <c r="I236" i="10"/>
  <c r="L236" i="10"/>
  <c r="F220" i="5"/>
  <c r="I220" i="5"/>
  <c r="L220" i="5"/>
  <c r="F221" i="5"/>
  <c r="I221" i="5"/>
  <c r="L221" i="5"/>
  <c r="F222" i="5"/>
  <c r="I222" i="5"/>
  <c r="L222" i="5"/>
  <c r="F223" i="5"/>
  <c r="I223" i="5"/>
  <c r="L223" i="5"/>
  <c r="F224" i="5"/>
  <c r="I224" i="5"/>
  <c r="L224" i="5"/>
  <c r="F225" i="5"/>
  <c r="I225" i="5"/>
  <c r="L225" i="5"/>
  <c r="F226" i="5"/>
  <c r="I226" i="5"/>
  <c r="L226" i="5"/>
  <c r="F227" i="5"/>
  <c r="I227" i="5"/>
  <c r="L227" i="5"/>
  <c r="F228" i="5"/>
  <c r="I228" i="5"/>
  <c r="L228" i="5"/>
  <c r="F229" i="5"/>
  <c r="I229" i="5"/>
  <c r="L229" i="5"/>
  <c r="F230" i="5"/>
  <c r="I230" i="5"/>
  <c r="L230" i="5"/>
  <c r="F226" i="1"/>
  <c r="I226" i="1"/>
  <c r="L226" i="1"/>
  <c r="F227" i="1"/>
  <c r="I227" i="1"/>
  <c r="L227" i="1"/>
  <c r="F228" i="1"/>
  <c r="I228" i="1"/>
  <c r="L228" i="1"/>
  <c r="F229" i="1"/>
  <c r="I229" i="1"/>
  <c r="L229" i="1"/>
  <c r="F230" i="1"/>
  <c r="I230" i="1"/>
  <c r="L230" i="1"/>
  <c r="F231" i="1"/>
  <c r="I231" i="1"/>
  <c r="L231" i="1"/>
  <c r="F232" i="1"/>
  <c r="I232" i="1"/>
  <c r="L232" i="1"/>
  <c r="F233" i="1"/>
  <c r="I233" i="1"/>
  <c r="L233" i="1"/>
  <c r="F234" i="1"/>
  <c r="I234" i="1"/>
  <c r="L234" i="1"/>
  <c r="F235" i="1"/>
  <c r="I235" i="1"/>
  <c r="L235" i="1"/>
  <c r="F236" i="1"/>
  <c r="I236" i="1"/>
  <c r="L236" i="1"/>
  <c r="F217" i="4"/>
  <c r="I217" i="4"/>
  <c r="L217" i="4"/>
  <c r="F218" i="4"/>
  <c r="I218" i="4"/>
  <c r="L218" i="4"/>
  <c r="F219" i="4"/>
  <c r="I219" i="4"/>
  <c r="L219" i="4"/>
  <c r="F220" i="4"/>
  <c r="I220" i="4"/>
  <c r="L220" i="4"/>
  <c r="F221" i="4"/>
  <c r="I221" i="4"/>
  <c r="L221" i="4"/>
  <c r="F222" i="4"/>
  <c r="I222" i="4"/>
  <c r="L222" i="4"/>
  <c r="F223" i="4"/>
  <c r="I223" i="4"/>
  <c r="L223" i="4"/>
  <c r="F224" i="4"/>
  <c r="I224" i="4"/>
  <c r="L224" i="4"/>
  <c r="F225" i="4"/>
  <c r="I225" i="4"/>
  <c r="L225" i="4"/>
  <c r="F226" i="4"/>
  <c r="I226" i="4"/>
  <c r="L226" i="4"/>
  <c r="F227" i="4"/>
  <c r="I227" i="4"/>
  <c r="L227" i="4"/>
  <c r="F222" i="3"/>
  <c r="I222" i="3"/>
  <c r="L222" i="3"/>
  <c r="F223" i="3"/>
  <c r="I223" i="3"/>
  <c r="L223" i="3"/>
  <c r="F224" i="3"/>
  <c r="I224" i="3"/>
  <c r="L224" i="3"/>
  <c r="F225" i="3"/>
  <c r="I225" i="3"/>
  <c r="L225" i="3"/>
  <c r="F226" i="3"/>
  <c r="I226" i="3"/>
  <c r="L226" i="3"/>
  <c r="F227" i="3"/>
  <c r="I227" i="3"/>
  <c r="L227" i="3"/>
  <c r="F228" i="3"/>
  <c r="I228" i="3"/>
  <c r="L228" i="3"/>
  <c r="F229" i="3"/>
  <c r="I229" i="3"/>
  <c r="L229" i="3"/>
  <c r="F230" i="3"/>
  <c r="I230" i="3"/>
  <c r="L230" i="3"/>
  <c r="F230" i="2"/>
  <c r="I230" i="2"/>
  <c r="L230" i="2"/>
  <c r="F231" i="2"/>
  <c r="I231" i="2"/>
  <c r="L231" i="2"/>
  <c r="F232" i="2"/>
  <c r="I232" i="2"/>
  <c r="L232" i="2"/>
  <c r="F233" i="2"/>
  <c r="I233" i="2"/>
  <c r="L233" i="2"/>
  <c r="F234" i="2"/>
  <c r="I234" i="2"/>
  <c r="L234" i="2"/>
  <c r="F235" i="2"/>
  <c r="I235" i="2"/>
  <c r="L235" i="2"/>
  <c r="F236" i="2"/>
  <c r="I236" i="2"/>
  <c r="L236" i="2"/>
  <c r="F251" i="8"/>
  <c r="I251" i="8"/>
  <c r="L251" i="8"/>
  <c r="F252" i="8"/>
  <c r="I252" i="8"/>
  <c r="L252" i="8"/>
  <c r="F253" i="8"/>
  <c r="I253" i="8"/>
  <c r="L253" i="8"/>
  <c r="F254" i="8"/>
  <c r="I254" i="8"/>
  <c r="L254" i="8"/>
  <c r="F255" i="8"/>
  <c r="I255" i="8"/>
  <c r="L255" i="8"/>
  <c r="F256" i="8"/>
  <c r="I256" i="8"/>
  <c r="L256" i="8"/>
  <c r="F257" i="8"/>
  <c r="I257" i="8"/>
  <c r="L257" i="8"/>
  <c r="F258" i="8"/>
  <c r="I258" i="8"/>
  <c r="L258" i="8"/>
  <c r="F259" i="8"/>
  <c r="I259" i="8"/>
  <c r="L259" i="8"/>
  <c r="F260" i="8"/>
  <c r="I260" i="8"/>
  <c r="L260" i="8"/>
  <c r="F261" i="8"/>
  <c r="I261" i="8"/>
  <c r="L261" i="8"/>
  <c r="F225" i="10" l="1"/>
  <c r="I225" i="10"/>
  <c r="L225" i="10"/>
  <c r="F244" i="9"/>
  <c r="I244" i="9"/>
  <c r="L244" i="9"/>
  <c r="F245" i="9"/>
  <c r="I245" i="9"/>
  <c r="L245" i="9"/>
  <c r="F190" i="11"/>
  <c r="I190" i="11"/>
  <c r="L190" i="11"/>
  <c r="F191" i="11"/>
  <c r="I191" i="11"/>
  <c r="L191" i="11"/>
  <c r="L250" i="8"/>
  <c r="L249" i="8"/>
  <c r="I250" i="8"/>
  <c r="I249" i="8"/>
  <c r="F250" i="8"/>
  <c r="F249" i="8"/>
  <c r="L229" i="2"/>
  <c r="L228" i="2"/>
  <c r="I229" i="2"/>
  <c r="I228" i="2"/>
  <c r="F229" i="2"/>
  <c r="F228" i="2"/>
  <c r="L221" i="3"/>
  <c r="L220" i="3"/>
  <c r="L219" i="3"/>
  <c r="I221" i="3"/>
  <c r="I220" i="3"/>
  <c r="I219" i="3"/>
  <c r="F221" i="3"/>
  <c r="F220" i="3"/>
  <c r="F219" i="3"/>
  <c r="L225" i="1"/>
  <c r="I225" i="1"/>
  <c r="F225" i="1"/>
  <c r="L224" i="10"/>
  <c r="L223" i="10"/>
  <c r="I224" i="10"/>
  <c r="I223" i="10"/>
  <c r="F224" i="10"/>
  <c r="F223" i="10"/>
  <c r="L230" i="12"/>
  <c r="L229" i="12"/>
  <c r="L228" i="12"/>
  <c r="L227" i="12"/>
  <c r="L226" i="12"/>
  <c r="L225" i="12"/>
  <c r="I230" i="12"/>
  <c r="I229" i="12"/>
  <c r="I228" i="12"/>
  <c r="I227" i="12"/>
  <c r="I226" i="12"/>
  <c r="I225" i="12"/>
  <c r="F230" i="12"/>
  <c r="F229" i="12"/>
  <c r="F228" i="12"/>
  <c r="F227" i="12"/>
  <c r="F226" i="12"/>
  <c r="F225" i="12"/>
  <c r="F245" i="8"/>
  <c r="I245" i="8"/>
  <c r="L245" i="8"/>
  <c r="F246" i="8"/>
  <c r="I246" i="8"/>
  <c r="L246" i="8"/>
  <c r="F247" i="8"/>
  <c r="I247" i="8"/>
  <c r="L247" i="8"/>
  <c r="F248" i="8"/>
  <c r="I248" i="8"/>
  <c r="L248" i="8"/>
  <c r="F222" i="2"/>
  <c r="I222" i="2"/>
  <c r="L222" i="2"/>
  <c r="F223" i="2"/>
  <c r="I223" i="2"/>
  <c r="L223" i="2"/>
  <c r="F224" i="2"/>
  <c r="I224" i="2"/>
  <c r="L224" i="2"/>
  <c r="F225" i="2"/>
  <c r="I225" i="2"/>
  <c r="L225" i="2"/>
  <c r="F226" i="2"/>
  <c r="I226" i="2"/>
  <c r="L226" i="2"/>
  <c r="F227" i="2"/>
  <c r="I227" i="2"/>
  <c r="L227" i="2"/>
  <c r="F217" i="3"/>
  <c r="I217" i="3"/>
  <c r="L217" i="3"/>
  <c r="F218" i="3"/>
  <c r="I218" i="3"/>
  <c r="L218" i="3"/>
  <c r="F214" i="4"/>
  <c r="I214" i="4"/>
  <c r="L214" i="4"/>
  <c r="F215" i="4"/>
  <c r="I215" i="4"/>
  <c r="L215" i="4"/>
  <c r="F216" i="4"/>
  <c r="I216" i="4"/>
  <c r="L216" i="4"/>
  <c r="F222" i="1"/>
  <c r="I222" i="1"/>
  <c r="L222" i="1"/>
  <c r="F223" i="1"/>
  <c r="I223" i="1"/>
  <c r="L223" i="1"/>
  <c r="F224" i="1"/>
  <c r="I224" i="1"/>
  <c r="L224" i="1"/>
  <c r="F215" i="5"/>
  <c r="I215" i="5"/>
  <c r="L215" i="5"/>
  <c r="F216" i="5"/>
  <c r="I216" i="5"/>
  <c r="L216" i="5"/>
  <c r="F217" i="5"/>
  <c r="I217" i="5"/>
  <c r="L217" i="5"/>
  <c r="F218" i="5"/>
  <c r="I218" i="5"/>
  <c r="L218" i="5"/>
  <c r="F219" i="5"/>
  <c r="I219" i="5"/>
  <c r="L219" i="5"/>
  <c r="F219" i="10"/>
  <c r="I219" i="10"/>
  <c r="L219" i="10"/>
  <c r="F220" i="10"/>
  <c r="I220" i="10"/>
  <c r="L220" i="10"/>
  <c r="F221" i="10"/>
  <c r="I221" i="10"/>
  <c r="L221" i="10"/>
  <c r="F222" i="10"/>
  <c r="I222" i="10"/>
  <c r="L222" i="10"/>
  <c r="F224" i="12"/>
  <c r="I224" i="12"/>
  <c r="L224" i="12"/>
  <c r="F188" i="11"/>
  <c r="I188" i="11"/>
  <c r="L188" i="11"/>
  <c r="F189" i="11"/>
  <c r="I189" i="11"/>
  <c r="L189" i="11"/>
  <c r="F240" i="9"/>
  <c r="I240" i="9"/>
  <c r="L240" i="9"/>
  <c r="F241" i="9"/>
  <c r="I241" i="9"/>
  <c r="L241" i="9"/>
  <c r="F242" i="9"/>
  <c r="I242" i="9"/>
  <c r="L242" i="9"/>
  <c r="F243" i="9"/>
  <c r="I243" i="9"/>
  <c r="L243" i="9"/>
  <c r="R258" i="9" l="1"/>
  <c r="P9" i="6" s="1"/>
  <c r="Q258" i="9"/>
  <c r="O9" i="6" s="1"/>
  <c r="P258" i="9"/>
  <c r="N9" i="6" s="1"/>
  <c r="O258" i="9"/>
  <c r="M9" i="6" s="1"/>
  <c r="N258" i="9"/>
  <c r="L9" i="6" s="1"/>
  <c r="M258" i="9"/>
  <c r="K9" i="6" s="1"/>
  <c r="K258" i="9"/>
  <c r="I9" i="6" s="1"/>
  <c r="J258" i="9"/>
  <c r="H258" i="9"/>
  <c r="F9" i="6" s="1"/>
  <c r="G258" i="9"/>
  <c r="G9" i="6" s="1"/>
  <c r="E258" i="9"/>
  <c r="F258" i="9" s="1"/>
  <c r="D9" i="6" s="1"/>
  <c r="D258" i="9"/>
  <c r="B9" i="6" s="1"/>
  <c r="L239" i="9"/>
  <c r="I239" i="9"/>
  <c r="F239" i="9"/>
  <c r="L238" i="9"/>
  <c r="I238" i="9"/>
  <c r="F238" i="9"/>
  <c r="L237" i="9"/>
  <c r="I237" i="9"/>
  <c r="F237" i="9"/>
  <c r="L236" i="9"/>
  <c r="I236" i="9"/>
  <c r="F236" i="9"/>
  <c r="L235" i="9"/>
  <c r="I235" i="9"/>
  <c r="F235" i="9"/>
  <c r="L234" i="9"/>
  <c r="I234" i="9"/>
  <c r="F234" i="9"/>
  <c r="L233" i="9"/>
  <c r="I233" i="9"/>
  <c r="F233" i="9"/>
  <c r="L232" i="9"/>
  <c r="I232" i="9"/>
  <c r="F232" i="9"/>
  <c r="L231" i="9"/>
  <c r="I231" i="9"/>
  <c r="F231" i="9"/>
  <c r="L230" i="9"/>
  <c r="I230" i="9"/>
  <c r="F230" i="9"/>
  <c r="L229" i="9"/>
  <c r="I229" i="9"/>
  <c r="F229" i="9"/>
  <c r="L228" i="9"/>
  <c r="I228" i="9"/>
  <c r="F228" i="9"/>
  <c r="L227" i="9"/>
  <c r="I227" i="9"/>
  <c r="F227" i="9"/>
  <c r="L226" i="9"/>
  <c r="I226" i="9"/>
  <c r="F226" i="9"/>
  <c r="L225" i="9"/>
  <c r="I225" i="9"/>
  <c r="F225" i="9"/>
  <c r="L224" i="9"/>
  <c r="I224" i="9"/>
  <c r="F224" i="9"/>
  <c r="L223" i="9"/>
  <c r="I223" i="9"/>
  <c r="F223" i="9"/>
  <c r="L222" i="9"/>
  <c r="I222" i="9"/>
  <c r="F222" i="9"/>
  <c r="L221" i="9"/>
  <c r="I221" i="9"/>
  <c r="F221" i="9"/>
  <c r="L220" i="9"/>
  <c r="I220" i="9"/>
  <c r="F220" i="9"/>
  <c r="L219" i="9"/>
  <c r="I219" i="9"/>
  <c r="F219" i="9"/>
  <c r="L218" i="9"/>
  <c r="I218" i="9"/>
  <c r="F218" i="9"/>
  <c r="L217" i="9"/>
  <c r="I217" i="9"/>
  <c r="F217" i="9"/>
  <c r="L216" i="9"/>
  <c r="I216" i="9"/>
  <c r="F216" i="9"/>
  <c r="L215" i="9"/>
  <c r="I215" i="9"/>
  <c r="F215" i="9"/>
  <c r="L214" i="9"/>
  <c r="I214" i="9"/>
  <c r="F214" i="9"/>
  <c r="L213" i="9"/>
  <c r="I213" i="9"/>
  <c r="F213" i="9"/>
  <c r="L212" i="9"/>
  <c r="I212" i="9"/>
  <c r="F212" i="9"/>
  <c r="L211" i="9"/>
  <c r="I211" i="9"/>
  <c r="F211" i="9"/>
  <c r="L210" i="9"/>
  <c r="I210" i="9"/>
  <c r="F210" i="9"/>
  <c r="L209" i="9"/>
  <c r="I209" i="9"/>
  <c r="F209" i="9"/>
  <c r="L208" i="9"/>
  <c r="I208" i="9"/>
  <c r="F208" i="9"/>
  <c r="L207" i="9"/>
  <c r="I207" i="9"/>
  <c r="F207" i="9"/>
  <c r="L206" i="9"/>
  <c r="I206" i="9"/>
  <c r="F206" i="9"/>
  <c r="L205" i="9"/>
  <c r="I205" i="9"/>
  <c r="F205" i="9"/>
  <c r="L204" i="9"/>
  <c r="I204" i="9"/>
  <c r="F204" i="9"/>
  <c r="L203" i="9"/>
  <c r="I203" i="9"/>
  <c r="F203" i="9"/>
  <c r="L202" i="9"/>
  <c r="I202" i="9"/>
  <c r="F202" i="9"/>
  <c r="L201" i="9"/>
  <c r="I201" i="9"/>
  <c r="F201" i="9"/>
  <c r="L200" i="9"/>
  <c r="I200" i="9"/>
  <c r="F200" i="9"/>
  <c r="L199" i="9"/>
  <c r="I199" i="9"/>
  <c r="F199" i="9"/>
  <c r="L198" i="9"/>
  <c r="I198" i="9"/>
  <c r="F198" i="9"/>
  <c r="L197" i="9"/>
  <c r="I197" i="9"/>
  <c r="F197" i="9"/>
  <c r="L196" i="9"/>
  <c r="I196" i="9"/>
  <c r="F196" i="9"/>
  <c r="L195" i="9"/>
  <c r="I195" i="9"/>
  <c r="F195" i="9"/>
  <c r="L194" i="9"/>
  <c r="I194" i="9"/>
  <c r="F194" i="9"/>
  <c r="L193" i="9"/>
  <c r="I193" i="9"/>
  <c r="F193" i="9"/>
  <c r="L192" i="9"/>
  <c r="I192" i="9"/>
  <c r="F192" i="9"/>
  <c r="L191" i="9"/>
  <c r="I191" i="9"/>
  <c r="F191" i="9"/>
  <c r="L190" i="9"/>
  <c r="I190" i="9"/>
  <c r="F190" i="9"/>
  <c r="L189" i="9"/>
  <c r="I189" i="9"/>
  <c r="F189" i="9"/>
  <c r="L188" i="9"/>
  <c r="I188" i="9"/>
  <c r="F188" i="9"/>
  <c r="L187" i="9"/>
  <c r="I187" i="9"/>
  <c r="F187" i="9"/>
  <c r="L186" i="9"/>
  <c r="I186" i="9"/>
  <c r="F186" i="9"/>
  <c r="L185" i="9"/>
  <c r="I185" i="9"/>
  <c r="F185" i="9"/>
  <c r="L184" i="9"/>
  <c r="I184" i="9"/>
  <c r="F184" i="9"/>
  <c r="L183" i="9"/>
  <c r="I183" i="9"/>
  <c r="F183" i="9"/>
  <c r="L182" i="9"/>
  <c r="I182" i="9"/>
  <c r="F182" i="9"/>
  <c r="L181" i="9"/>
  <c r="I181" i="9"/>
  <c r="F181" i="9"/>
  <c r="L180" i="9"/>
  <c r="I180" i="9"/>
  <c r="F180" i="9"/>
  <c r="L179" i="9"/>
  <c r="I179" i="9"/>
  <c r="F179" i="9"/>
  <c r="L178" i="9"/>
  <c r="I178" i="9"/>
  <c r="F178" i="9"/>
  <c r="L177" i="9"/>
  <c r="I177" i="9"/>
  <c r="F177" i="9"/>
  <c r="L176" i="9"/>
  <c r="I176" i="9"/>
  <c r="F176" i="9"/>
  <c r="L175" i="9"/>
  <c r="I175" i="9"/>
  <c r="F175" i="9"/>
  <c r="L174" i="9"/>
  <c r="I174" i="9"/>
  <c r="F174" i="9"/>
  <c r="L173" i="9"/>
  <c r="I173" i="9"/>
  <c r="F173" i="9"/>
  <c r="L172" i="9"/>
  <c r="I172" i="9"/>
  <c r="F172" i="9"/>
  <c r="L171" i="9"/>
  <c r="I171" i="9"/>
  <c r="F171" i="9"/>
  <c r="L170" i="9"/>
  <c r="I170" i="9"/>
  <c r="F170" i="9"/>
  <c r="L169" i="9"/>
  <c r="I169" i="9"/>
  <c r="F169" i="9"/>
  <c r="L168" i="9"/>
  <c r="I168" i="9"/>
  <c r="F168" i="9"/>
  <c r="L167" i="9"/>
  <c r="I167" i="9"/>
  <c r="F167" i="9"/>
  <c r="L166" i="9"/>
  <c r="I166" i="9"/>
  <c r="F166" i="9"/>
  <c r="L165" i="9"/>
  <c r="I165" i="9"/>
  <c r="F165" i="9"/>
  <c r="L164" i="9"/>
  <c r="I164" i="9"/>
  <c r="F164" i="9"/>
  <c r="L163" i="9"/>
  <c r="I163" i="9"/>
  <c r="F163" i="9"/>
  <c r="L162" i="9"/>
  <c r="I162" i="9"/>
  <c r="F162" i="9"/>
  <c r="L161" i="9"/>
  <c r="I161" i="9"/>
  <c r="F161" i="9"/>
  <c r="L160" i="9"/>
  <c r="I160" i="9"/>
  <c r="F160" i="9"/>
  <c r="L159" i="9"/>
  <c r="I159" i="9"/>
  <c r="F159" i="9"/>
  <c r="L158" i="9"/>
  <c r="I158" i="9"/>
  <c r="F158" i="9"/>
  <c r="L157" i="9"/>
  <c r="I157" i="9"/>
  <c r="F157" i="9"/>
  <c r="L156" i="9"/>
  <c r="I156" i="9"/>
  <c r="F156" i="9"/>
  <c r="L155" i="9"/>
  <c r="I155" i="9"/>
  <c r="F155" i="9"/>
  <c r="L154" i="9"/>
  <c r="I154" i="9"/>
  <c r="F154" i="9"/>
  <c r="L153" i="9"/>
  <c r="I153" i="9"/>
  <c r="F153" i="9"/>
  <c r="L152" i="9"/>
  <c r="I152" i="9"/>
  <c r="F152" i="9"/>
  <c r="L151" i="9"/>
  <c r="I151" i="9"/>
  <c r="F151" i="9"/>
  <c r="L150" i="9"/>
  <c r="I150" i="9"/>
  <c r="F150" i="9"/>
  <c r="L149" i="9"/>
  <c r="I149" i="9"/>
  <c r="F149" i="9"/>
  <c r="L148" i="9"/>
  <c r="I148" i="9"/>
  <c r="F148" i="9"/>
  <c r="L147" i="9"/>
  <c r="I147" i="9"/>
  <c r="F147" i="9"/>
  <c r="L146" i="9"/>
  <c r="I146" i="9"/>
  <c r="F146" i="9"/>
  <c r="L145" i="9"/>
  <c r="I145" i="9"/>
  <c r="F145" i="9"/>
  <c r="L144" i="9"/>
  <c r="I144" i="9"/>
  <c r="F144" i="9"/>
  <c r="L143" i="9"/>
  <c r="I143" i="9"/>
  <c r="F143" i="9"/>
  <c r="L142" i="9"/>
  <c r="I142" i="9"/>
  <c r="F142" i="9"/>
  <c r="L141" i="9"/>
  <c r="I141" i="9"/>
  <c r="F141" i="9"/>
  <c r="L140" i="9"/>
  <c r="I140" i="9"/>
  <c r="F140" i="9"/>
  <c r="L139" i="9"/>
  <c r="I139" i="9"/>
  <c r="F139" i="9"/>
  <c r="L138" i="9"/>
  <c r="I138" i="9"/>
  <c r="F138" i="9"/>
  <c r="L137" i="9"/>
  <c r="I137" i="9"/>
  <c r="F137" i="9"/>
  <c r="L136" i="9"/>
  <c r="I136" i="9"/>
  <c r="F136" i="9"/>
  <c r="L135" i="9"/>
  <c r="I135" i="9"/>
  <c r="F135" i="9"/>
  <c r="L134" i="9"/>
  <c r="I134" i="9"/>
  <c r="F134" i="9"/>
  <c r="L133" i="9"/>
  <c r="I133" i="9"/>
  <c r="F133" i="9"/>
  <c r="L132" i="9"/>
  <c r="I132" i="9"/>
  <c r="F132" i="9"/>
  <c r="L131" i="9"/>
  <c r="I131" i="9"/>
  <c r="F131" i="9"/>
  <c r="L130" i="9"/>
  <c r="I130" i="9"/>
  <c r="F130" i="9"/>
  <c r="L129" i="9"/>
  <c r="I129" i="9"/>
  <c r="F129" i="9"/>
  <c r="L128" i="9"/>
  <c r="I128" i="9"/>
  <c r="F128" i="9"/>
  <c r="L127" i="9"/>
  <c r="I127" i="9"/>
  <c r="F127" i="9"/>
  <c r="L126" i="9"/>
  <c r="I126" i="9"/>
  <c r="F126" i="9"/>
  <c r="L125" i="9"/>
  <c r="I125" i="9"/>
  <c r="F125" i="9"/>
  <c r="L124" i="9"/>
  <c r="I124" i="9"/>
  <c r="F124" i="9"/>
  <c r="L123" i="9"/>
  <c r="I123" i="9"/>
  <c r="F123" i="9"/>
  <c r="L122" i="9"/>
  <c r="I122" i="9"/>
  <c r="F122" i="9"/>
  <c r="L121" i="9"/>
  <c r="I121" i="9"/>
  <c r="F121" i="9"/>
  <c r="L120" i="9"/>
  <c r="I120" i="9"/>
  <c r="F120" i="9"/>
  <c r="L119" i="9"/>
  <c r="I119" i="9"/>
  <c r="F119" i="9"/>
  <c r="L118" i="9"/>
  <c r="I118" i="9"/>
  <c r="F118" i="9"/>
  <c r="L117" i="9"/>
  <c r="I117" i="9"/>
  <c r="F117" i="9"/>
  <c r="L116" i="9"/>
  <c r="I116" i="9"/>
  <c r="F116" i="9"/>
  <c r="L115" i="9"/>
  <c r="I115" i="9"/>
  <c r="F115" i="9"/>
  <c r="L114" i="9"/>
  <c r="I114" i="9"/>
  <c r="F114" i="9"/>
  <c r="L113" i="9"/>
  <c r="I113" i="9"/>
  <c r="F113" i="9"/>
  <c r="L112" i="9"/>
  <c r="I112" i="9"/>
  <c r="F112" i="9"/>
  <c r="L111" i="9"/>
  <c r="I111" i="9"/>
  <c r="F111" i="9"/>
  <c r="L110" i="9"/>
  <c r="I110" i="9"/>
  <c r="F110" i="9"/>
  <c r="L109" i="9"/>
  <c r="I109" i="9"/>
  <c r="F109" i="9"/>
  <c r="L108" i="9"/>
  <c r="I108" i="9"/>
  <c r="F108" i="9"/>
  <c r="L107" i="9"/>
  <c r="I107" i="9"/>
  <c r="F107" i="9"/>
  <c r="L106" i="9"/>
  <c r="I106" i="9"/>
  <c r="F106" i="9"/>
  <c r="L105" i="9"/>
  <c r="I105" i="9"/>
  <c r="F105" i="9"/>
  <c r="L104" i="9"/>
  <c r="I104" i="9"/>
  <c r="F104" i="9"/>
  <c r="L103" i="9"/>
  <c r="I103" i="9"/>
  <c r="F103" i="9"/>
  <c r="L102" i="9"/>
  <c r="I102" i="9"/>
  <c r="F102" i="9"/>
  <c r="L101" i="9"/>
  <c r="I101" i="9"/>
  <c r="F101" i="9"/>
  <c r="L100" i="9"/>
  <c r="I100" i="9"/>
  <c r="F100" i="9"/>
  <c r="L99" i="9"/>
  <c r="I99" i="9"/>
  <c r="F99" i="9"/>
  <c r="L98" i="9"/>
  <c r="I98" i="9"/>
  <c r="F98" i="9"/>
  <c r="L97" i="9"/>
  <c r="I97" i="9"/>
  <c r="F97" i="9"/>
  <c r="L96" i="9"/>
  <c r="I96" i="9"/>
  <c r="F96" i="9"/>
  <c r="L95" i="9"/>
  <c r="I95" i="9"/>
  <c r="F95" i="9"/>
  <c r="L94" i="9"/>
  <c r="I94" i="9"/>
  <c r="F94" i="9"/>
  <c r="L93" i="9"/>
  <c r="I93" i="9"/>
  <c r="F93" i="9"/>
  <c r="L92" i="9"/>
  <c r="I92" i="9"/>
  <c r="F92" i="9"/>
  <c r="L91" i="9"/>
  <c r="I91" i="9"/>
  <c r="F91" i="9"/>
  <c r="L90" i="9"/>
  <c r="I90" i="9"/>
  <c r="F90" i="9"/>
  <c r="L89" i="9"/>
  <c r="I89" i="9"/>
  <c r="F89" i="9"/>
  <c r="L88" i="9"/>
  <c r="I88" i="9"/>
  <c r="F88" i="9"/>
  <c r="L87" i="9"/>
  <c r="I87" i="9"/>
  <c r="F87" i="9"/>
  <c r="L86" i="9"/>
  <c r="I86" i="9"/>
  <c r="F86" i="9"/>
  <c r="L85" i="9"/>
  <c r="I85" i="9"/>
  <c r="F85" i="9"/>
  <c r="L84" i="9"/>
  <c r="I84" i="9"/>
  <c r="F84" i="9"/>
  <c r="L83" i="9"/>
  <c r="I83" i="9"/>
  <c r="F83" i="9"/>
  <c r="L82" i="9"/>
  <c r="I82" i="9"/>
  <c r="F82" i="9"/>
  <c r="L81" i="9"/>
  <c r="I81" i="9"/>
  <c r="F81" i="9"/>
  <c r="L80" i="9"/>
  <c r="I80" i="9"/>
  <c r="F80" i="9"/>
  <c r="L79" i="9"/>
  <c r="I79" i="9"/>
  <c r="F79" i="9"/>
  <c r="L78" i="9"/>
  <c r="I78" i="9"/>
  <c r="F78" i="9"/>
  <c r="L77" i="9"/>
  <c r="I77" i="9"/>
  <c r="F77" i="9"/>
  <c r="L76" i="9"/>
  <c r="I76" i="9"/>
  <c r="F76" i="9"/>
  <c r="L75" i="9"/>
  <c r="I75" i="9"/>
  <c r="F75" i="9"/>
  <c r="L74" i="9"/>
  <c r="I74" i="9"/>
  <c r="F74" i="9"/>
  <c r="L73" i="9"/>
  <c r="I73" i="9"/>
  <c r="F73" i="9"/>
  <c r="L72" i="9"/>
  <c r="I72" i="9"/>
  <c r="F72" i="9"/>
  <c r="L71" i="9"/>
  <c r="I71" i="9"/>
  <c r="F71" i="9"/>
  <c r="L70" i="9"/>
  <c r="I70" i="9"/>
  <c r="F70" i="9"/>
  <c r="L69" i="9"/>
  <c r="I69" i="9"/>
  <c r="F69" i="9"/>
  <c r="L68" i="9"/>
  <c r="I68" i="9"/>
  <c r="F68" i="9"/>
  <c r="L67" i="9"/>
  <c r="I67" i="9"/>
  <c r="F67" i="9"/>
  <c r="L66" i="9"/>
  <c r="I66" i="9"/>
  <c r="F66" i="9"/>
  <c r="L65" i="9"/>
  <c r="I65" i="9"/>
  <c r="F65" i="9"/>
  <c r="L64" i="9"/>
  <c r="I64" i="9"/>
  <c r="F64" i="9"/>
  <c r="L63" i="9"/>
  <c r="I63" i="9"/>
  <c r="F63" i="9"/>
  <c r="L62" i="9"/>
  <c r="I62" i="9"/>
  <c r="F62" i="9"/>
  <c r="L61" i="9"/>
  <c r="I61" i="9"/>
  <c r="F61" i="9"/>
  <c r="L60" i="9"/>
  <c r="I60" i="9"/>
  <c r="F60" i="9"/>
  <c r="L59" i="9"/>
  <c r="I59" i="9"/>
  <c r="F59" i="9"/>
  <c r="L58" i="9"/>
  <c r="I58" i="9"/>
  <c r="F58" i="9"/>
  <c r="L57" i="9"/>
  <c r="I57" i="9"/>
  <c r="F57" i="9"/>
  <c r="L56" i="9"/>
  <c r="I56" i="9"/>
  <c r="F56" i="9"/>
  <c r="L55" i="9"/>
  <c r="I55" i="9"/>
  <c r="F55" i="9"/>
  <c r="L54" i="9"/>
  <c r="I54" i="9"/>
  <c r="F54" i="9"/>
  <c r="L53" i="9"/>
  <c r="I53" i="9"/>
  <c r="F53" i="9"/>
  <c r="L52" i="9"/>
  <c r="I52" i="9"/>
  <c r="F52" i="9"/>
  <c r="L51" i="9"/>
  <c r="I51" i="9"/>
  <c r="F51" i="9"/>
  <c r="L50" i="9"/>
  <c r="I50" i="9"/>
  <c r="F50" i="9"/>
  <c r="L49" i="9"/>
  <c r="I49" i="9"/>
  <c r="F49" i="9"/>
  <c r="L48" i="9"/>
  <c r="I48" i="9"/>
  <c r="F48" i="9"/>
  <c r="L47" i="9"/>
  <c r="I47" i="9"/>
  <c r="F47" i="9"/>
  <c r="L46" i="9"/>
  <c r="I46" i="9"/>
  <c r="F46" i="9"/>
  <c r="L45" i="9"/>
  <c r="I45" i="9"/>
  <c r="F45" i="9"/>
  <c r="L44" i="9"/>
  <c r="I44" i="9"/>
  <c r="F44" i="9"/>
  <c r="L43" i="9"/>
  <c r="I43" i="9"/>
  <c r="F43" i="9"/>
  <c r="L42" i="9"/>
  <c r="I42" i="9"/>
  <c r="F42" i="9"/>
  <c r="L41" i="9"/>
  <c r="I41" i="9"/>
  <c r="F41" i="9"/>
  <c r="L40" i="9"/>
  <c r="I40" i="9"/>
  <c r="F40" i="9"/>
  <c r="L39" i="9"/>
  <c r="I39" i="9"/>
  <c r="F39" i="9"/>
  <c r="L38" i="9"/>
  <c r="I38" i="9"/>
  <c r="F38" i="9"/>
  <c r="L37" i="9"/>
  <c r="I37" i="9"/>
  <c r="F37" i="9"/>
  <c r="L36" i="9"/>
  <c r="I36" i="9"/>
  <c r="F36" i="9"/>
  <c r="L35" i="9"/>
  <c r="I35" i="9"/>
  <c r="F35" i="9"/>
  <c r="L34" i="9"/>
  <c r="I34" i="9"/>
  <c r="F34" i="9"/>
  <c r="L33" i="9"/>
  <c r="I33" i="9"/>
  <c r="F33" i="9"/>
  <c r="L32" i="9"/>
  <c r="I32" i="9"/>
  <c r="F32" i="9"/>
  <c r="L31" i="9"/>
  <c r="I31" i="9"/>
  <c r="F31" i="9"/>
  <c r="L30" i="9"/>
  <c r="I30" i="9"/>
  <c r="F30" i="9"/>
  <c r="L29" i="9"/>
  <c r="I29" i="9"/>
  <c r="F29" i="9"/>
  <c r="L28" i="9"/>
  <c r="I28" i="9"/>
  <c r="F28" i="9"/>
  <c r="L27" i="9"/>
  <c r="I27" i="9"/>
  <c r="F27" i="9"/>
  <c r="L26" i="9"/>
  <c r="I26" i="9"/>
  <c r="F26" i="9"/>
  <c r="L25" i="9"/>
  <c r="I25" i="9"/>
  <c r="F25" i="9"/>
  <c r="L24" i="9"/>
  <c r="I24" i="9"/>
  <c r="F24" i="9"/>
  <c r="L23" i="9"/>
  <c r="I23" i="9"/>
  <c r="F23" i="9"/>
  <c r="L22" i="9"/>
  <c r="I22" i="9"/>
  <c r="F22" i="9"/>
  <c r="L21" i="9"/>
  <c r="I21" i="9"/>
  <c r="F21" i="9"/>
  <c r="L20" i="9"/>
  <c r="I20" i="9"/>
  <c r="F20" i="9"/>
  <c r="L19" i="9"/>
  <c r="I19" i="9"/>
  <c r="F19" i="9"/>
  <c r="L18" i="9"/>
  <c r="I18" i="9"/>
  <c r="F18" i="9"/>
  <c r="L17" i="9"/>
  <c r="I17" i="9"/>
  <c r="F17" i="9"/>
  <c r="L16" i="9"/>
  <c r="I16" i="9"/>
  <c r="F16" i="9"/>
  <c r="L15" i="9"/>
  <c r="I15" i="9"/>
  <c r="F15" i="9"/>
  <c r="L14" i="9"/>
  <c r="I14" i="9"/>
  <c r="F14" i="9"/>
  <c r="L13" i="9"/>
  <c r="I13" i="9"/>
  <c r="F13" i="9"/>
  <c r="L12" i="9"/>
  <c r="I12" i="9"/>
  <c r="F12" i="9"/>
  <c r="L11" i="9"/>
  <c r="I11" i="9"/>
  <c r="F11" i="9"/>
  <c r="L10" i="9"/>
  <c r="I10" i="9"/>
  <c r="F10" i="9"/>
  <c r="L9" i="9"/>
  <c r="I9" i="9"/>
  <c r="F9" i="9"/>
  <c r="L8" i="9"/>
  <c r="I8" i="9"/>
  <c r="F8" i="9"/>
  <c r="L7" i="9"/>
  <c r="I7" i="9"/>
  <c r="F7" i="9"/>
  <c r="L6" i="9"/>
  <c r="I6" i="9"/>
  <c r="F6" i="9"/>
  <c r="L5" i="9"/>
  <c r="I5" i="9"/>
  <c r="F5" i="9"/>
  <c r="L4" i="9"/>
  <c r="I4" i="9"/>
  <c r="F4" i="9"/>
  <c r="L3" i="9"/>
  <c r="I3" i="9"/>
  <c r="F3" i="9"/>
  <c r="L2" i="9"/>
  <c r="I2" i="9"/>
  <c r="F2" i="9"/>
  <c r="R197" i="11"/>
  <c r="P7" i="6" s="1"/>
  <c r="Q197" i="11"/>
  <c r="O7" i="6" s="1"/>
  <c r="P197" i="11"/>
  <c r="N7" i="6" s="1"/>
  <c r="O197" i="11"/>
  <c r="M7" i="6" s="1"/>
  <c r="N197" i="11"/>
  <c r="L7" i="6" s="1"/>
  <c r="M197" i="11"/>
  <c r="K7" i="6" s="1"/>
  <c r="K197" i="11"/>
  <c r="I7" i="6" s="1"/>
  <c r="J197" i="11"/>
  <c r="J7" i="6" s="1"/>
  <c r="H197" i="11"/>
  <c r="F7" i="6" s="1"/>
  <c r="G197" i="11"/>
  <c r="G7" i="6" s="1"/>
  <c r="E197" i="11"/>
  <c r="C7" i="6" s="1"/>
  <c r="D197" i="11"/>
  <c r="B7" i="6" s="1"/>
  <c r="L187" i="11"/>
  <c r="I187" i="11"/>
  <c r="F187" i="11"/>
  <c r="L186" i="11"/>
  <c r="I186" i="11"/>
  <c r="F186" i="11"/>
  <c r="L185" i="11"/>
  <c r="I185" i="11"/>
  <c r="F185" i="11"/>
  <c r="L184" i="11"/>
  <c r="I184" i="11"/>
  <c r="F184" i="11"/>
  <c r="L183" i="11"/>
  <c r="I183" i="11"/>
  <c r="F183" i="11"/>
  <c r="L182" i="11"/>
  <c r="I182" i="11"/>
  <c r="F182" i="11"/>
  <c r="L181" i="11"/>
  <c r="I181" i="11"/>
  <c r="F181" i="11"/>
  <c r="L180" i="11"/>
  <c r="I180" i="11"/>
  <c r="F180" i="11"/>
  <c r="L179" i="11"/>
  <c r="I179" i="11"/>
  <c r="F179" i="11"/>
  <c r="L178" i="11"/>
  <c r="I178" i="11"/>
  <c r="F178" i="11"/>
  <c r="L177" i="11"/>
  <c r="I177" i="11"/>
  <c r="F177" i="11"/>
  <c r="L176" i="11"/>
  <c r="I176" i="11"/>
  <c r="F176" i="11"/>
  <c r="L175" i="11"/>
  <c r="I175" i="11"/>
  <c r="F175" i="11"/>
  <c r="L174" i="11"/>
  <c r="I174" i="11"/>
  <c r="F174" i="11"/>
  <c r="L173" i="11"/>
  <c r="I173" i="11"/>
  <c r="F173" i="11"/>
  <c r="L172" i="11"/>
  <c r="I172" i="11"/>
  <c r="F172" i="11"/>
  <c r="L171" i="11"/>
  <c r="I171" i="11"/>
  <c r="F171" i="11"/>
  <c r="L170" i="11"/>
  <c r="I170" i="11"/>
  <c r="F170" i="11"/>
  <c r="L169" i="11"/>
  <c r="I169" i="11"/>
  <c r="F169" i="11"/>
  <c r="L168" i="11"/>
  <c r="I168" i="11"/>
  <c r="F168" i="11"/>
  <c r="L167" i="11"/>
  <c r="I167" i="11"/>
  <c r="F167" i="11"/>
  <c r="L166" i="11"/>
  <c r="I166" i="11"/>
  <c r="F166" i="11"/>
  <c r="L165" i="11"/>
  <c r="I165" i="11"/>
  <c r="F165" i="11"/>
  <c r="L164" i="11"/>
  <c r="I164" i="11"/>
  <c r="F164" i="11"/>
  <c r="L163" i="11"/>
  <c r="I163" i="11"/>
  <c r="F163" i="11"/>
  <c r="L162" i="11"/>
  <c r="I162" i="11"/>
  <c r="F162" i="11"/>
  <c r="L161" i="11"/>
  <c r="I161" i="11"/>
  <c r="F161" i="11"/>
  <c r="L160" i="11"/>
  <c r="I160" i="11"/>
  <c r="F160" i="11"/>
  <c r="L159" i="11"/>
  <c r="I159" i="11"/>
  <c r="F159" i="11"/>
  <c r="L158" i="11"/>
  <c r="I158" i="11"/>
  <c r="F158" i="11"/>
  <c r="L157" i="11"/>
  <c r="I157" i="11"/>
  <c r="F157" i="11"/>
  <c r="L156" i="11"/>
  <c r="I156" i="11"/>
  <c r="F156" i="11"/>
  <c r="L155" i="11"/>
  <c r="I155" i="11"/>
  <c r="F155" i="11"/>
  <c r="L154" i="11"/>
  <c r="I154" i="11"/>
  <c r="F154" i="11"/>
  <c r="L153" i="11"/>
  <c r="I153" i="11"/>
  <c r="F153" i="11"/>
  <c r="L152" i="11"/>
  <c r="I152" i="11"/>
  <c r="F152" i="11"/>
  <c r="L151" i="11"/>
  <c r="I151" i="11"/>
  <c r="F151" i="11"/>
  <c r="L150" i="11"/>
  <c r="I150" i="11"/>
  <c r="F150" i="11"/>
  <c r="L149" i="11"/>
  <c r="I149" i="11"/>
  <c r="F149" i="11"/>
  <c r="L148" i="11"/>
  <c r="I148" i="11"/>
  <c r="F148" i="11"/>
  <c r="L147" i="11"/>
  <c r="I147" i="11"/>
  <c r="F147" i="11"/>
  <c r="L146" i="11"/>
  <c r="I146" i="11"/>
  <c r="F146" i="11"/>
  <c r="L145" i="11"/>
  <c r="I145" i="11"/>
  <c r="F145" i="11"/>
  <c r="L144" i="11"/>
  <c r="I144" i="11"/>
  <c r="F144" i="11"/>
  <c r="L143" i="11"/>
  <c r="I143" i="11"/>
  <c r="F143" i="11"/>
  <c r="L142" i="11"/>
  <c r="I142" i="11"/>
  <c r="F142" i="11"/>
  <c r="L141" i="11"/>
  <c r="I141" i="11"/>
  <c r="F141" i="11"/>
  <c r="L140" i="11"/>
  <c r="I140" i="11"/>
  <c r="F140" i="11"/>
  <c r="L139" i="11"/>
  <c r="I139" i="11"/>
  <c r="F139" i="11"/>
  <c r="L138" i="11"/>
  <c r="I138" i="11"/>
  <c r="F138" i="11"/>
  <c r="L137" i="11"/>
  <c r="I137" i="11"/>
  <c r="F137" i="11"/>
  <c r="L136" i="11"/>
  <c r="I136" i="11"/>
  <c r="F136" i="11"/>
  <c r="L135" i="11"/>
  <c r="I135" i="11"/>
  <c r="F135" i="11"/>
  <c r="L134" i="11"/>
  <c r="I134" i="11"/>
  <c r="F134" i="11"/>
  <c r="L133" i="11"/>
  <c r="I133" i="11"/>
  <c r="F133" i="11"/>
  <c r="L132" i="11"/>
  <c r="I132" i="11"/>
  <c r="F132" i="11"/>
  <c r="L131" i="11"/>
  <c r="I131" i="11"/>
  <c r="F131" i="11"/>
  <c r="L130" i="11"/>
  <c r="I130" i="11"/>
  <c r="F130" i="11"/>
  <c r="L129" i="11"/>
  <c r="I129" i="11"/>
  <c r="F129" i="11"/>
  <c r="L128" i="11"/>
  <c r="I128" i="11"/>
  <c r="F128" i="11"/>
  <c r="L127" i="11"/>
  <c r="I127" i="11"/>
  <c r="F127" i="11"/>
  <c r="L126" i="11"/>
  <c r="I126" i="11"/>
  <c r="F126" i="11"/>
  <c r="L125" i="11"/>
  <c r="I125" i="11"/>
  <c r="F125" i="11"/>
  <c r="L124" i="11"/>
  <c r="I124" i="11"/>
  <c r="F124" i="11"/>
  <c r="L123" i="11"/>
  <c r="I123" i="11"/>
  <c r="F123" i="11"/>
  <c r="L122" i="11"/>
  <c r="I122" i="11"/>
  <c r="F122" i="11"/>
  <c r="L121" i="11"/>
  <c r="I121" i="11"/>
  <c r="F121" i="11"/>
  <c r="L120" i="11"/>
  <c r="I120" i="11"/>
  <c r="F120" i="11"/>
  <c r="L119" i="11"/>
  <c r="I119" i="11"/>
  <c r="F119" i="11"/>
  <c r="L118" i="11"/>
  <c r="I118" i="11"/>
  <c r="F118" i="11"/>
  <c r="L117" i="11"/>
  <c r="I117" i="11"/>
  <c r="F117" i="11"/>
  <c r="L116" i="11"/>
  <c r="I116" i="11"/>
  <c r="F116" i="11"/>
  <c r="L115" i="11"/>
  <c r="I115" i="11"/>
  <c r="F115" i="11"/>
  <c r="L114" i="11"/>
  <c r="I114" i="11"/>
  <c r="F114" i="11"/>
  <c r="L113" i="11"/>
  <c r="I113" i="11"/>
  <c r="F113" i="11"/>
  <c r="L112" i="11"/>
  <c r="I112" i="11"/>
  <c r="F112" i="11"/>
  <c r="L111" i="11"/>
  <c r="I111" i="11"/>
  <c r="F111" i="11"/>
  <c r="L110" i="11"/>
  <c r="I110" i="11"/>
  <c r="F110" i="11"/>
  <c r="L109" i="11"/>
  <c r="I109" i="11"/>
  <c r="F109" i="11"/>
  <c r="L108" i="11"/>
  <c r="I108" i="11"/>
  <c r="F108" i="11"/>
  <c r="L107" i="11"/>
  <c r="I107" i="11"/>
  <c r="F107" i="11"/>
  <c r="L106" i="11"/>
  <c r="I106" i="11"/>
  <c r="F106" i="11"/>
  <c r="L105" i="11"/>
  <c r="I105" i="11"/>
  <c r="F105" i="11"/>
  <c r="L104" i="11"/>
  <c r="I104" i="11"/>
  <c r="F104" i="11"/>
  <c r="L103" i="11"/>
  <c r="I103" i="11"/>
  <c r="F103" i="11"/>
  <c r="L102" i="11"/>
  <c r="I102" i="11"/>
  <c r="F102" i="11"/>
  <c r="L101" i="11"/>
  <c r="I101" i="11"/>
  <c r="F101" i="11"/>
  <c r="L100" i="11"/>
  <c r="I100" i="11"/>
  <c r="F100" i="11"/>
  <c r="L99" i="11"/>
  <c r="I99" i="11"/>
  <c r="F99" i="11"/>
  <c r="L98" i="11"/>
  <c r="I98" i="11"/>
  <c r="F98" i="11"/>
  <c r="L97" i="11"/>
  <c r="I97" i="11"/>
  <c r="F97" i="11"/>
  <c r="L96" i="11"/>
  <c r="I96" i="11"/>
  <c r="F96" i="11"/>
  <c r="L95" i="11"/>
  <c r="I95" i="11"/>
  <c r="F95" i="11"/>
  <c r="L94" i="11"/>
  <c r="I94" i="11"/>
  <c r="F94" i="11"/>
  <c r="L93" i="11"/>
  <c r="I93" i="11"/>
  <c r="F93" i="11"/>
  <c r="L92" i="11"/>
  <c r="I92" i="11"/>
  <c r="F92" i="11"/>
  <c r="L91" i="11"/>
  <c r="I91" i="11"/>
  <c r="F91" i="11"/>
  <c r="L90" i="11"/>
  <c r="I90" i="11"/>
  <c r="F90" i="11"/>
  <c r="L89" i="11"/>
  <c r="I89" i="11"/>
  <c r="F89" i="11"/>
  <c r="L88" i="11"/>
  <c r="I88" i="11"/>
  <c r="F88" i="11"/>
  <c r="L87" i="11"/>
  <c r="I87" i="11"/>
  <c r="F87" i="11"/>
  <c r="L86" i="11"/>
  <c r="I86" i="11"/>
  <c r="F86" i="11"/>
  <c r="L85" i="11"/>
  <c r="I85" i="11"/>
  <c r="F85" i="11"/>
  <c r="L84" i="11"/>
  <c r="I84" i="11"/>
  <c r="F84" i="11"/>
  <c r="L83" i="11"/>
  <c r="I83" i="11"/>
  <c r="F83" i="11"/>
  <c r="L82" i="11"/>
  <c r="I82" i="11"/>
  <c r="F82" i="11"/>
  <c r="L81" i="11"/>
  <c r="I81" i="11"/>
  <c r="F81" i="11"/>
  <c r="L80" i="11"/>
  <c r="I80" i="11"/>
  <c r="F80" i="11"/>
  <c r="L79" i="11"/>
  <c r="I79" i="11"/>
  <c r="F79" i="11"/>
  <c r="L78" i="11"/>
  <c r="I78" i="11"/>
  <c r="F78" i="11"/>
  <c r="L77" i="11"/>
  <c r="I77" i="11"/>
  <c r="F77" i="11"/>
  <c r="L76" i="11"/>
  <c r="I76" i="11"/>
  <c r="F76" i="11"/>
  <c r="L75" i="11"/>
  <c r="I75" i="11"/>
  <c r="F75" i="11"/>
  <c r="L74" i="11"/>
  <c r="I74" i="11"/>
  <c r="F74" i="11"/>
  <c r="L73" i="11"/>
  <c r="I73" i="11"/>
  <c r="F73" i="11"/>
  <c r="L72" i="11"/>
  <c r="I72" i="11"/>
  <c r="F72" i="11"/>
  <c r="L71" i="11"/>
  <c r="I71" i="11"/>
  <c r="F71" i="11"/>
  <c r="L70" i="11"/>
  <c r="I70" i="11"/>
  <c r="F70" i="11"/>
  <c r="L69" i="11"/>
  <c r="I69" i="11"/>
  <c r="F69" i="11"/>
  <c r="L68" i="11"/>
  <c r="I68" i="11"/>
  <c r="F68" i="11"/>
  <c r="L67" i="11"/>
  <c r="I67" i="11"/>
  <c r="F67" i="11"/>
  <c r="L66" i="11"/>
  <c r="I66" i="11"/>
  <c r="F66" i="11"/>
  <c r="L65" i="11"/>
  <c r="I65" i="11"/>
  <c r="F65" i="11"/>
  <c r="L64" i="11"/>
  <c r="I64" i="11"/>
  <c r="F64" i="11"/>
  <c r="L63" i="11"/>
  <c r="I63" i="11"/>
  <c r="F63" i="11"/>
  <c r="L62" i="11"/>
  <c r="I62" i="11"/>
  <c r="F62" i="11"/>
  <c r="L61" i="11"/>
  <c r="I61" i="11"/>
  <c r="F61" i="11"/>
  <c r="L60" i="11"/>
  <c r="I60" i="11"/>
  <c r="F60" i="11"/>
  <c r="L59" i="11"/>
  <c r="I59" i="11"/>
  <c r="F59" i="11"/>
  <c r="L58" i="11"/>
  <c r="I58" i="11"/>
  <c r="F58" i="11"/>
  <c r="L57" i="11"/>
  <c r="I57" i="11"/>
  <c r="F57" i="11"/>
  <c r="L56" i="11"/>
  <c r="I56" i="11"/>
  <c r="F56" i="11"/>
  <c r="L55" i="11"/>
  <c r="I55" i="11"/>
  <c r="F55" i="11"/>
  <c r="L54" i="11"/>
  <c r="I54" i="11"/>
  <c r="F54" i="11"/>
  <c r="L53" i="11"/>
  <c r="I53" i="11"/>
  <c r="F53" i="11"/>
  <c r="L52" i="11"/>
  <c r="I52" i="11"/>
  <c r="F52" i="11"/>
  <c r="L51" i="11"/>
  <c r="I51" i="11"/>
  <c r="F51" i="11"/>
  <c r="L50" i="11"/>
  <c r="I50" i="11"/>
  <c r="F50" i="11"/>
  <c r="L49" i="11"/>
  <c r="I49" i="11"/>
  <c r="F49" i="11"/>
  <c r="L48" i="11"/>
  <c r="I48" i="11"/>
  <c r="F48" i="11"/>
  <c r="L47" i="11"/>
  <c r="I47" i="11"/>
  <c r="F47" i="11"/>
  <c r="L46" i="11"/>
  <c r="I46" i="11"/>
  <c r="F46" i="11"/>
  <c r="L45" i="11"/>
  <c r="I45" i="11"/>
  <c r="F45" i="11"/>
  <c r="L44" i="11"/>
  <c r="I44" i="11"/>
  <c r="F44" i="11"/>
  <c r="L43" i="11"/>
  <c r="I43" i="11"/>
  <c r="F43" i="11"/>
  <c r="L42" i="11"/>
  <c r="I42" i="11"/>
  <c r="F42" i="11"/>
  <c r="L41" i="11"/>
  <c r="I41" i="11"/>
  <c r="F41" i="11"/>
  <c r="L40" i="11"/>
  <c r="I40" i="11"/>
  <c r="F40" i="11"/>
  <c r="L39" i="11"/>
  <c r="I39" i="11"/>
  <c r="F39" i="11"/>
  <c r="L38" i="11"/>
  <c r="I38" i="11"/>
  <c r="F38" i="11"/>
  <c r="L37" i="11"/>
  <c r="I37" i="11"/>
  <c r="F37" i="11"/>
  <c r="L36" i="11"/>
  <c r="I36" i="11"/>
  <c r="F36" i="11"/>
  <c r="L35" i="11"/>
  <c r="I35" i="11"/>
  <c r="F35" i="11"/>
  <c r="L34" i="11"/>
  <c r="I34" i="11"/>
  <c r="F34" i="11"/>
  <c r="L33" i="11"/>
  <c r="I33" i="11"/>
  <c r="F33" i="11"/>
  <c r="L32" i="11"/>
  <c r="I32" i="11"/>
  <c r="F32" i="11"/>
  <c r="L31" i="11"/>
  <c r="I31" i="11"/>
  <c r="F31" i="11"/>
  <c r="L30" i="11"/>
  <c r="I30" i="11"/>
  <c r="F30" i="11"/>
  <c r="L29" i="11"/>
  <c r="I29" i="11"/>
  <c r="F29" i="11"/>
  <c r="L28" i="11"/>
  <c r="I28" i="11"/>
  <c r="F28" i="11"/>
  <c r="L27" i="11"/>
  <c r="I27" i="11"/>
  <c r="F27" i="11"/>
  <c r="L26" i="11"/>
  <c r="I26" i="11"/>
  <c r="F26" i="11"/>
  <c r="L25" i="11"/>
  <c r="I25" i="11"/>
  <c r="F25" i="11"/>
  <c r="L24" i="11"/>
  <c r="I24" i="11"/>
  <c r="F24" i="11"/>
  <c r="L23" i="11"/>
  <c r="I23" i="11"/>
  <c r="F23" i="11"/>
  <c r="L22" i="11"/>
  <c r="I22" i="11"/>
  <c r="F22" i="11"/>
  <c r="L21" i="11"/>
  <c r="I21" i="11"/>
  <c r="F21" i="11"/>
  <c r="L20" i="11"/>
  <c r="I20" i="11"/>
  <c r="F20" i="11"/>
  <c r="L19" i="11"/>
  <c r="I19" i="11"/>
  <c r="F19" i="11"/>
  <c r="L18" i="11"/>
  <c r="I18" i="11"/>
  <c r="F18" i="11"/>
  <c r="L17" i="11"/>
  <c r="I17" i="11"/>
  <c r="F17" i="11"/>
  <c r="L16" i="11"/>
  <c r="I16" i="11"/>
  <c r="F16" i="11"/>
  <c r="L15" i="11"/>
  <c r="I15" i="11"/>
  <c r="F15" i="11"/>
  <c r="L14" i="11"/>
  <c r="I14" i="11"/>
  <c r="F14" i="11"/>
  <c r="L13" i="11"/>
  <c r="I13" i="11"/>
  <c r="F13" i="11"/>
  <c r="L12" i="11"/>
  <c r="I12" i="11"/>
  <c r="F12" i="11"/>
  <c r="L11" i="11"/>
  <c r="I11" i="11"/>
  <c r="F11" i="11"/>
  <c r="L10" i="11"/>
  <c r="I10" i="11"/>
  <c r="F10" i="11"/>
  <c r="L9" i="11"/>
  <c r="I9" i="11"/>
  <c r="F9" i="11"/>
  <c r="L8" i="11"/>
  <c r="I8" i="11"/>
  <c r="F8" i="11"/>
  <c r="L7" i="11"/>
  <c r="I7" i="11"/>
  <c r="F7" i="11"/>
  <c r="L6" i="11"/>
  <c r="I6" i="11"/>
  <c r="F6" i="11"/>
  <c r="L5" i="11"/>
  <c r="I5" i="11"/>
  <c r="F5" i="11"/>
  <c r="L4" i="11"/>
  <c r="I4" i="11"/>
  <c r="F4" i="11"/>
  <c r="L3" i="11"/>
  <c r="I3" i="11"/>
  <c r="F3" i="11"/>
  <c r="L2" i="11"/>
  <c r="I2" i="11"/>
  <c r="F2" i="11"/>
  <c r="R244" i="12"/>
  <c r="P11" i="6" s="1"/>
  <c r="Q244" i="12"/>
  <c r="O11" i="6" s="1"/>
  <c r="P244" i="12"/>
  <c r="N11" i="6" s="1"/>
  <c r="O244" i="12"/>
  <c r="M11" i="6" s="1"/>
  <c r="N244" i="12"/>
  <c r="L11" i="6" s="1"/>
  <c r="M244" i="12"/>
  <c r="K11" i="6" s="1"/>
  <c r="K244" i="12"/>
  <c r="I11" i="6" s="1"/>
  <c r="J244" i="12"/>
  <c r="H11" i="6" s="1"/>
  <c r="H244" i="12"/>
  <c r="F11" i="6" s="1"/>
  <c r="G244" i="12"/>
  <c r="G11" i="6" s="1"/>
  <c r="E244" i="12"/>
  <c r="F244" i="12" s="1"/>
  <c r="D11" i="6" s="1"/>
  <c r="D244" i="12"/>
  <c r="B11" i="6" s="1"/>
  <c r="L223" i="12"/>
  <c r="I223" i="12"/>
  <c r="F223" i="12"/>
  <c r="L222" i="12"/>
  <c r="I222" i="12"/>
  <c r="F222" i="12"/>
  <c r="L221" i="12"/>
  <c r="I221" i="12"/>
  <c r="F221" i="12"/>
  <c r="L220" i="12"/>
  <c r="I220" i="12"/>
  <c r="F220" i="12"/>
  <c r="L219" i="12"/>
  <c r="I219" i="12"/>
  <c r="F219" i="12"/>
  <c r="L218" i="12"/>
  <c r="I218" i="12"/>
  <c r="F218" i="12"/>
  <c r="L217" i="12"/>
  <c r="I217" i="12"/>
  <c r="F217" i="12"/>
  <c r="L216" i="12"/>
  <c r="I216" i="12"/>
  <c r="F216" i="12"/>
  <c r="L215" i="12"/>
  <c r="I215" i="12"/>
  <c r="F215" i="12"/>
  <c r="L214" i="12"/>
  <c r="I214" i="12"/>
  <c r="F214" i="12"/>
  <c r="L213" i="12"/>
  <c r="I213" i="12"/>
  <c r="F213" i="12"/>
  <c r="L212" i="12"/>
  <c r="I212" i="12"/>
  <c r="F212" i="12"/>
  <c r="L211" i="12"/>
  <c r="I211" i="12"/>
  <c r="F211" i="12"/>
  <c r="L210" i="12"/>
  <c r="I210" i="12"/>
  <c r="F210" i="12"/>
  <c r="L209" i="12"/>
  <c r="I209" i="12"/>
  <c r="F209" i="12"/>
  <c r="L208" i="12"/>
  <c r="I208" i="12"/>
  <c r="F208" i="12"/>
  <c r="L207" i="12"/>
  <c r="I207" i="12"/>
  <c r="F207" i="12"/>
  <c r="L206" i="12"/>
  <c r="I206" i="12"/>
  <c r="F206" i="12"/>
  <c r="L205" i="12"/>
  <c r="I205" i="12"/>
  <c r="F205" i="12"/>
  <c r="L204" i="12"/>
  <c r="I204" i="12"/>
  <c r="F204" i="12"/>
  <c r="L203" i="12"/>
  <c r="I203" i="12"/>
  <c r="F203" i="12"/>
  <c r="L202" i="12"/>
  <c r="I202" i="12"/>
  <c r="F202" i="12"/>
  <c r="L201" i="12"/>
  <c r="I201" i="12"/>
  <c r="F201" i="12"/>
  <c r="L200" i="12"/>
  <c r="I200" i="12"/>
  <c r="F200" i="12"/>
  <c r="L199" i="12"/>
  <c r="I199" i="12"/>
  <c r="F199" i="12"/>
  <c r="L198" i="12"/>
  <c r="I198" i="12"/>
  <c r="F198" i="12"/>
  <c r="L197" i="12"/>
  <c r="I197" i="12"/>
  <c r="F197" i="12"/>
  <c r="L196" i="12"/>
  <c r="I196" i="12"/>
  <c r="F196" i="12"/>
  <c r="L195" i="12"/>
  <c r="I195" i="12"/>
  <c r="F195" i="12"/>
  <c r="L194" i="12"/>
  <c r="I194" i="12"/>
  <c r="F194" i="12"/>
  <c r="L193" i="12"/>
  <c r="I193" i="12"/>
  <c r="F193" i="12"/>
  <c r="L192" i="12"/>
  <c r="I192" i="12"/>
  <c r="F192" i="12"/>
  <c r="L191" i="12"/>
  <c r="I191" i="12"/>
  <c r="F191" i="12"/>
  <c r="L190" i="12"/>
  <c r="I190" i="12"/>
  <c r="F190" i="12"/>
  <c r="L189" i="12"/>
  <c r="I189" i="12"/>
  <c r="F189" i="12"/>
  <c r="L188" i="12"/>
  <c r="I188" i="12"/>
  <c r="F188" i="12"/>
  <c r="L187" i="12"/>
  <c r="I187" i="12"/>
  <c r="F187" i="12"/>
  <c r="L186" i="12"/>
  <c r="I186" i="12"/>
  <c r="F186" i="12"/>
  <c r="L185" i="12"/>
  <c r="I185" i="12"/>
  <c r="F185" i="12"/>
  <c r="L184" i="12"/>
  <c r="I184" i="12"/>
  <c r="F184" i="12"/>
  <c r="L183" i="12"/>
  <c r="I183" i="12"/>
  <c r="F183" i="12"/>
  <c r="L182" i="12"/>
  <c r="I182" i="12"/>
  <c r="F182" i="12"/>
  <c r="L181" i="12"/>
  <c r="I181" i="12"/>
  <c r="F181" i="12"/>
  <c r="L180" i="12"/>
  <c r="I180" i="12"/>
  <c r="F180" i="12"/>
  <c r="L179" i="12"/>
  <c r="I179" i="12"/>
  <c r="F179" i="12"/>
  <c r="L178" i="12"/>
  <c r="I178" i="12"/>
  <c r="F178" i="12"/>
  <c r="L177" i="12"/>
  <c r="I177" i="12"/>
  <c r="F177" i="12"/>
  <c r="L176" i="12"/>
  <c r="I176" i="12"/>
  <c r="F176" i="12"/>
  <c r="L175" i="12"/>
  <c r="I175" i="12"/>
  <c r="F175" i="12"/>
  <c r="L174" i="12"/>
  <c r="I174" i="12"/>
  <c r="F174" i="12"/>
  <c r="L173" i="12"/>
  <c r="I173" i="12"/>
  <c r="F173" i="12"/>
  <c r="L172" i="12"/>
  <c r="I172" i="12"/>
  <c r="F172" i="12"/>
  <c r="L171" i="12"/>
  <c r="I171" i="12"/>
  <c r="F171" i="12"/>
  <c r="L170" i="12"/>
  <c r="I170" i="12"/>
  <c r="F170" i="12"/>
  <c r="L169" i="12"/>
  <c r="I169" i="12"/>
  <c r="F169" i="12"/>
  <c r="L168" i="12"/>
  <c r="I168" i="12"/>
  <c r="F168" i="12"/>
  <c r="L167" i="12"/>
  <c r="I167" i="12"/>
  <c r="F167" i="12"/>
  <c r="L166" i="12"/>
  <c r="I166" i="12"/>
  <c r="F166" i="12"/>
  <c r="L165" i="12"/>
  <c r="I165" i="12"/>
  <c r="F165" i="12"/>
  <c r="L164" i="12"/>
  <c r="I164" i="12"/>
  <c r="F164" i="12"/>
  <c r="L163" i="12"/>
  <c r="I163" i="12"/>
  <c r="F163" i="12"/>
  <c r="L162" i="12"/>
  <c r="I162" i="12"/>
  <c r="F162" i="12"/>
  <c r="L161" i="12"/>
  <c r="I161" i="12"/>
  <c r="F161" i="12"/>
  <c r="L160" i="12"/>
  <c r="I160" i="12"/>
  <c r="F160" i="12"/>
  <c r="L159" i="12"/>
  <c r="I159" i="12"/>
  <c r="F159" i="12"/>
  <c r="L158" i="12"/>
  <c r="I158" i="12"/>
  <c r="F158" i="12"/>
  <c r="L157" i="12"/>
  <c r="I157" i="12"/>
  <c r="F157" i="12"/>
  <c r="L156" i="12"/>
  <c r="I156" i="12"/>
  <c r="F156" i="12"/>
  <c r="L155" i="12"/>
  <c r="I155" i="12"/>
  <c r="F155" i="12"/>
  <c r="L154" i="12"/>
  <c r="I154" i="12"/>
  <c r="F154" i="12"/>
  <c r="L153" i="12"/>
  <c r="I153" i="12"/>
  <c r="F153" i="12"/>
  <c r="L152" i="12"/>
  <c r="I152" i="12"/>
  <c r="F152" i="12"/>
  <c r="L151" i="12"/>
  <c r="I151" i="12"/>
  <c r="F151" i="12"/>
  <c r="L150" i="12"/>
  <c r="I150" i="12"/>
  <c r="F150" i="12"/>
  <c r="L149" i="12"/>
  <c r="I149" i="12"/>
  <c r="F149" i="12"/>
  <c r="L148" i="12"/>
  <c r="I148" i="12"/>
  <c r="F148" i="12"/>
  <c r="L147" i="12"/>
  <c r="I147" i="12"/>
  <c r="F147" i="12"/>
  <c r="L146" i="12"/>
  <c r="I146" i="12"/>
  <c r="F146" i="12"/>
  <c r="L145" i="12"/>
  <c r="I145" i="12"/>
  <c r="F145" i="12"/>
  <c r="L144" i="12"/>
  <c r="I144" i="12"/>
  <c r="F144" i="12"/>
  <c r="L143" i="12"/>
  <c r="I143" i="12"/>
  <c r="F143" i="12"/>
  <c r="L142" i="12"/>
  <c r="I142" i="12"/>
  <c r="F142" i="12"/>
  <c r="L141" i="12"/>
  <c r="I141" i="12"/>
  <c r="F141" i="12"/>
  <c r="L140" i="12"/>
  <c r="I140" i="12"/>
  <c r="F140" i="12"/>
  <c r="L139" i="12"/>
  <c r="I139" i="12"/>
  <c r="F139" i="12"/>
  <c r="L138" i="12"/>
  <c r="I138" i="12"/>
  <c r="F138" i="12"/>
  <c r="L137" i="12"/>
  <c r="I137" i="12"/>
  <c r="F137" i="12"/>
  <c r="L136" i="12"/>
  <c r="I136" i="12"/>
  <c r="F136" i="12"/>
  <c r="L135" i="12"/>
  <c r="I135" i="12"/>
  <c r="F135" i="12"/>
  <c r="L134" i="12"/>
  <c r="I134" i="12"/>
  <c r="F134" i="12"/>
  <c r="L133" i="12"/>
  <c r="I133" i="12"/>
  <c r="F133" i="12"/>
  <c r="L132" i="12"/>
  <c r="I132" i="12"/>
  <c r="F132" i="12"/>
  <c r="L131" i="12"/>
  <c r="I131" i="12"/>
  <c r="F131" i="12"/>
  <c r="L130" i="12"/>
  <c r="I130" i="12"/>
  <c r="F130" i="12"/>
  <c r="L129" i="12"/>
  <c r="I129" i="12"/>
  <c r="F129" i="12"/>
  <c r="L128" i="12"/>
  <c r="I128" i="12"/>
  <c r="F128" i="12"/>
  <c r="L127" i="12"/>
  <c r="I127" i="12"/>
  <c r="F127" i="12"/>
  <c r="L126" i="12"/>
  <c r="I126" i="12"/>
  <c r="F126" i="12"/>
  <c r="L125" i="12"/>
  <c r="I125" i="12"/>
  <c r="F125" i="12"/>
  <c r="L124" i="12"/>
  <c r="I124" i="12"/>
  <c r="F124" i="12"/>
  <c r="L123" i="12"/>
  <c r="I123" i="12"/>
  <c r="F123" i="12"/>
  <c r="L122" i="12"/>
  <c r="I122" i="12"/>
  <c r="F122" i="12"/>
  <c r="L121" i="12"/>
  <c r="I121" i="12"/>
  <c r="F121" i="12"/>
  <c r="L120" i="12"/>
  <c r="I120" i="12"/>
  <c r="F120" i="12"/>
  <c r="L119" i="12"/>
  <c r="I119" i="12"/>
  <c r="F119" i="12"/>
  <c r="L118" i="12"/>
  <c r="I118" i="12"/>
  <c r="F118" i="12"/>
  <c r="L117" i="12"/>
  <c r="I117" i="12"/>
  <c r="F117" i="12"/>
  <c r="L116" i="12"/>
  <c r="I116" i="12"/>
  <c r="F116" i="12"/>
  <c r="L115" i="12"/>
  <c r="I115" i="12"/>
  <c r="F115" i="12"/>
  <c r="L114" i="12"/>
  <c r="I114" i="12"/>
  <c r="F114" i="12"/>
  <c r="L113" i="12"/>
  <c r="I113" i="12"/>
  <c r="F113" i="12"/>
  <c r="L112" i="12"/>
  <c r="I112" i="12"/>
  <c r="F112" i="12"/>
  <c r="L111" i="12"/>
  <c r="I111" i="12"/>
  <c r="F111" i="12"/>
  <c r="L110" i="12"/>
  <c r="I110" i="12"/>
  <c r="F110" i="12"/>
  <c r="L109" i="12"/>
  <c r="I109" i="12"/>
  <c r="F109" i="12"/>
  <c r="L108" i="12"/>
  <c r="I108" i="12"/>
  <c r="F108" i="12"/>
  <c r="L107" i="12"/>
  <c r="I107" i="12"/>
  <c r="F107" i="12"/>
  <c r="L106" i="12"/>
  <c r="I106" i="12"/>
  <c r="F106" i="12"/>
  <c r="L105" i="12"/>
  <c r="I105" i="12"/>
  <c r="F105" i="12"/>
  <c r="L104" i="12"/>
  <c r="I104" i="12"/>
  <c r="F104" i="12"/>
  <c r="L103" i="12"/>
  <c r="I103" i="12"/>
  <c r="F103" i="12"/>
  <c r="L102" i="12"/>
  <c r="I102" i="12"/>
  <c r="F102" i="12"/>
  <c r="L101" i="12"/>
  <c r="I101" i="12"/>
  <c r="F101" i="12"/>
  <c r="L100" i="12"/>
  <c r="I100" i="12"/>
  <c r="F100" i="12"/>
  <c r="L99" i="12"/>
  <c r="I99" i="12"/>
  <c r="F99" i="12"/>
  <c r="L98" i="12"/>
  <c r="I98" i="12"/>
  <c r="F98" i="12"/>
  <c r="L97" i="12"/>
  <c r="I97" i="12"/>
  <c r="F97" i="12"/>
  <c r="L96" i="12"/>
  <c r="I96" i="12"/>
  <c r="F96" i="12"/>
  <c r="L95" i="12"/>
  <c r="I95" i="12"/>
  <c r="F95" i="12"/>
  <c r="L94" i="12"/>
  <c r="I94" i="12"/>
  <c r="F94" i="12"/>
  <c r="L93" i="12"/>
  <c r="I93" i="12"/>
  <c r="F93" i="12"/>
  <c r="L92" i="12"/>
  <c r="I92" i="12"/>
  <c r="F92" i="12"/>
  <c r="L91" i="12"/>
  <c r="I91" i="12"/>
  <c r="F91" i="12"/>
  <c r="L90" i="12"/>
  <c r="I90" i="12"/>
  <c r="F90" i="12"/>
  <c r="L89" i="12"/>
  <c r="I89" i="12"/>
  <c r="F89" i="12"/>
  <c r="L88" i="12"/>
  <c r="I88" i="12"/>
  <c r="F88" i="12"/>
  <c r="L87" i="12"/>
  <c r="I87" i="12"/>
  <c r="F87" i="12"/>
  <c r="L86" i="12"/>
  <c r="I86" i="12"/>
  <c r="F86" i="12"/>
  <c r="L85" i="12"/>
  <c r="I85" i="12"/>
  <c r="F85" i="12"/>
  <c r="L84" i="12"/>
  <c r="I84" i="12"/>
  <c r="F84" i="12"/>
  <c r="L83" i="12"/>
  <c r="I83" i="12"/>
  <c r="F83" i="12"/>
  <c r="L82" i="12"/>
  <c r="I82" i="12"/>
  <c r="F82" i="12"/>
  <c r="L81" i="12"/>
  <c r="I81" i="12"/>
  <c r="F81" i="12"/>
  <c r="L80" i="12"/>
  <c r="I80" i="12"/>
  <c r="F80" i="12"/>
  <c r="L79" i="12"/>
  <c r="I79" i="12"/>
  <c r="F79" i="12"/>
  <c r="L78" i="12"/>
  <c r="I78" i="12"/>
  <c r="F78" i="12"/>
  <c r="L77" i="12"/>
  <c r="I77" i="12"/>
  <c r="F77" i="12"/>
  <c r="L76" i="12"/>
  <c r="I76" i="12"/>
  <c r="F76" i="12"/>
  <c r="L75" i="12"/>
  <c r="I75" i="12"/>
  <c r="F75" i="12"/>
  <c r="L74" i="12"/>
  <c r="I74" i="12"/>
  <c r="F74" i="12"/>
  <c r="L73" i="12"/>
  <c r="I73" i="12"/>
  <c r="F73" i="12"/>
  <c r="L72" i="12"/>
  <c r="I72" i="12"/>
  <c r="F72" i="12"/>
  <c r="L71" i="12"/>
  <c r="I71" i="12"/>
  <c r="F71" i="12"/>
  <c r="L70" i="12"/>
  <c r="I70" i="12"/>
  <c r="F70" i="12"/>
  <c r="L69" i="12"/>
  <c r="I69" i="12"/>
  <c r="F69" i="12"/>
  <c r="L68" i="12"/>
  <c r="I68" i="12"/>
  <c r="F68" i="12"/>
  <c r="L67" i="12"/>
  <c r="I67" i="12"/>
  <c r="F67" i="12"/>
  <c r="L66" i="12"/>
  <c r="I66" i="12"/>
  <c r="F66" i="12"/>
  <c r="L65" i="12"/>
  <c r="I65" i="12"/>
  <c r="F65" i="12"/>
  <c r="L64" i="12"/>
  <c r="I64" i="12"/>
  <c r="F64" i="12"/>
  <c r="L63" i="12"/>
  <c r="I63" i="12"/>
  <c r="F63" i="12"/>
  <c r="L62" i="12"/>
  <c r="I62" i="12"/>
  <c r="F62" i="12"/>
  <c r="L61" i="12"/>
  <c r="I61" i="12"/>
  <c r="F61" i="12"/>
  <c r="L60" i="12"/>
  <c r="I60" i="12"/>
  <c r="F60" i="12"/>
  <c r="L59" i="12"/>
  <c r="I59" i="12"/>
  <c r="F59" i="12"/>
  <c r="L58" i="12"/>
  <c r="I58" i="12"/>
  <c r="F58" i="12"/>
  <c r="L57" i="12"/>
  <c r="I57" i="12"/>
  <c r="F57" i="12"/>
  <c r="L56" i="12"/>
  <c r="I56" i="12"/>
  <c r="F56" i="12"/>
  <c r="L55" i="12"/>
  <c r="I55" i="12"/>
  <c r="F55" i="12"/>
  <c r="L54" i="12"/>
  <c r="I54" i="12"/>
  <c r="F54" i="12"/>
  <c r="L53" i="12"/>
  <c r="I53" i="12"/>
  <c r="F53" i="12"/>
  <c r="L52" i="12"/>
  <c r="I52" i="12"/>
  <c r="F52" i="12"/>
  <c r="L51" i="12"/>
  <c r="I51" i="12"/>
  <c r="F51" i="12"/>
  <c r="L50" i="12"/>
  <c r="I50" i="12"/>
  <c r="F50" i="12"/>
  <c r="L49" i="12"/>
  <c r="I49" i="12"/>
  <c r="F49" i="12"/>
  <c r="L48" i="12"/>
  <c r="I48" i="12"/>
  <c r="F48" i="12"/>
  <c r="L47" i="12"/>
  <c r="I47" i="12"/>
  <c r="F47" i="12"/>
  <c r="L46" i="12"/>
  <c r="I46" i="12"/>
  <c r="F46" i="12"/>
  <c r="L45" i="12"/>
  <c r="I45" i="12"/>
  <c r="F45" i="12"/>
  <c r="L44" i="12"/>
  <c r="I44" i="12"/>
  <c r="F44" i="12"/>
  <c r="L43" i="12"/>
  <c r="I43" i="12"/>
  <c r="F43" i="12"/>
  <c r="L42" i="12"/>
  <c r="I42" i="12"/>
  <c r="F42" i="12"/>
  <c r="L41" i="12"/>
  <c r="I41" i="12"/>
  <c r="F41" i="12"/>
  <c r="L40" i="12"/>
  <c r="I40" i="12"/>
  <c r="F40" i="12"/>
  <c r="L39" i="12"/>
  <c r="I39" i="12"/>
  <c r="F39" i="12"/>
  <c r="L38" i="12"/>
  <c r="I38" i="12"/>
  <c r="F38" i="12"/>
  <c r="L37" i="12"/>
  <c r="I37" i="12"/>
  <c r="F37" i="12"/>
  <c r="L36" i="12"/>
  <c r="I36" i="12"/>
  <c r="F36" i="12"/>
  <c r="L35" i="12"/>
  <c r="I35" i="12"/>
  <c r="F35" i="12"/>
  <c r="L34" i="12"/>
  <c r="I34" i="12"/>
  <c r="F34" i="12"/>
  <c r="L33" i="12"/>
  <c r="I33" i="12"/>
  <c r="F33" i="12"/>
  <c r="L32" i="12"/>
  <c r="I32" i="12"/>
  <c r="F32" i="12"/>
  <c r="L31" i="12"/>
  <c r="I31" i="12"/>
  <c r="F31" i="12"/>
  <c r="L30" i="12"/>
  <c r="I30" i="12"/>
  <c r="F30" i="12"/>
  <c r="L29" i="12"/>
  <c r="I29" i="12"/>
  <c r="F29" i="12"/>
  <c r="L28" i="12"/>
  <c r="I28" i="12"/>
  <c r="F28" i="12"/>
  <c r="L27" i="12"/>
  <c r="I27" i="12"/>
  <c r="F27" i="12"/>
  <c r="L26" i="12"/>
  <c r="I26" i="12"/>
  <c r="F26" i="12"/>
  <c r="L25" i="12"/>
  <c r="I25" i="12"/>
  <c r="F25" i="12"/>
  <c r="L24" i="12"/>
  <c r="I24" i="12"/>
  <c r="F24" i="12"/>
  <c r="L23" i="12"/>
  <c r="I23" i="12"/>
  <c r="F23" i="12"/>
  <c r="L22" i="12"/>
  <c r="I22" i="12"/>
  <c r="F22" i="12"/>
  <c r="L21" i="12"/>
  <c r="I21" i="12"/>
  <c r="F21" i="12"/>
  <c r="L20" i="12"/>
  <c r="I20" i="12"/>
  <c r="F20" i="12"/>
  <c r="L19" i="12"/>
  <c r="I19" i="12"/>
  <c r="F19" i="12"/>
  <c r="L18" i="12"/>
  <c r="I18" i="12"/>
  <c r="F18" i="12"/>
  <c r="L17" i="12"/>
  <c r="I17" i="12"/>
  <c r="F17" i="12"/>
  <c r="L16" i="12"/>
  <c r="I16" i="12"/>
  <c r="F16" i="12"/>
  <c r="L15" i="12"/>
  <c r="I15" i="12"/>
  <c r="F15" i="12"/>
  <c r="L14" i="12"/>
  <c r="I14" i="12"/>
  <c r="F14" i="12"/>
  <c r="L13" i="12"/>
  <c r="I13" i="12"/>
  <c r="F13" i="12"/>
  <c r="L12" i="12"/>
  <c r="I12" i="12"/>
  <c r="F12" i="12"/>
  <c r="L11" i="12"/>
  <c r="I11" i="12"/>
  <c r="F11" i="12"/>
  <c r="L10" i="12"/>
  <c r="I10" i="12"/>
  <c r="F10" i="12"/>
  <c r="L9" i="12"/>
  <c r="I9" i="12"/>
  <c r="F9" i="12"/>
  <c r="L8" i="12"/>
  <c r="I8" i="12"/>
  <c r="F8" i="12"/>
  <c r="L7" i="12"/>
  <c r="I7" i="12"/>
  <c r="F7" i="12"/>
  <c r="L6" i="12"/>
  <c r="I6" i="12"/>
  <c r="F6" i="12"/>
  <c r="L5" i="12"/>
  <c r="I5" i="12"/>
  <c r="F5" i="12"/>
  <c r="L4" i="12"/>
  <c r="I4" i="12"/>
  <c r="F4" i="12"/>
  <c r="L3" i="12"/>
  <c r="I3" i="12"/>
  <c r="F3" i="12"/>
  <c r="L2" i="12"/>
  <c r="I2" i="12"/>
  <c r="F2" i="12"/>
  <c r="Q238" i="10"/>
  <c r="O3" i="6" s="1"/>
  <c r="P238" i="10"/>
  <c r="N3" i="6" s="1"/>
  <c r="O238" i="10"/>
  <c r="M3" i="6" s="1"/>
  <c r="N238" i="10"/>
  <c r="L3" i="6" s="1"/>
  <c r="M238" i="10"/>
  <c r="K3" i="6" s="1"/>
  <c r="K238" i="10"/>
  <c r="I3" i="6" s="1"/>
  <c r="J238" i="10"/>
  <c r="J3" i="6" s="1"/>
  <c r="H238" i="10"/>
  <c r="F3" i="6" s="1"/>
  <c r="G238" i="10"/>
  <c r="E238" i="10"/>
  <c r="F238" i="10" s="1"/>
  <c r="D3" i="6" s="1"/>
  <c r="D238" i="10"/>
  <c r="B3" i="6" s="1"/>
  <c r="R237" i="10"/>
  <c r="R238" i="10" s="1"/>
  <c r="P3" i="6" s="1"/>
  <c r="L237" i="10"/>
  <c r="I237" i="10"/>
  <c r="F237" i="10"/>
  <c r="L218" i="10"/>
  <c r="I218" i="10"/>
  <c r="F218" i="10"/>
  <c r="L217" i="10"/>
  <c r="I217" i="10"/>
  <c r="F217" i="10"/>
  <c r="L216" i="10"/>
  <c r="I216" i="10"/>
  <c r="F216" i="10"/>
  <c r="L215" i="10"/>
  <c r="I215" i="10"/>
  <c r="F215" i="10"/>
  <c r="L214" i="10"/>
  <c r="I214" i="10"/>
  <c r="F214" i="10"/>
  <c r="L213" i="10"/>
  <c r="I213" i="10"/>
  <c r="F213" i="10"/>
  <c r="L212" i="10"/>
  <c r="I212" i="10"/>
  <c r="F212" i="10"/>
  <c r="L211" i="10"/>
  <c r="I211" i="10"/>
  <c r="F211" i="10"/>
  <c r="L210" i="10"/>
  <c r="I210" i="10"/>
  <c r="F210" i="10"/>
  <c r="L209" i="10"/>
  <c r="I209" i="10"/>
  <c r="F209" i="10"/>
  <c r="L208" i="10"/>
  <c r="I208" i="10"/>
  <c r="F208" i="10"/>
  <c r="L207" i="10"/>
  <c r="I207" i="10"/>
  <c r="F207" i="10"/>
  <c r="L206" i="10"/>
  <c r="I206" i="10"/>
  <c r="F206" i="10"/>
  <c r="L205" i="10"/>
  <c r="I205" i="10"/>
  <c r="F205" i="10"/>
  <c r="L204" i="10"/>
  <c r="I204" i="10"/>
  <c r="F204" i="10"/>
  <c r="L203" i="10"/>
  <c r="I203" i="10"/>
  <c r="F203" i="10"/>
  <c r="L202" i="10"/>
  <c r="I202" i="10"/>
  <c r="F202" i="10"/>
  <c r="L201" i="10"/>
  <c r="I201" i="10"/>
  <c r="F201" i="10"/>
  <c r="L200" i="10"/>
  <c r="I200" i="10"/>
  <c r="F200" i="10"/>
  <c r="L199" i="10"/>
  <c r="I199" i="10"/>
  <c r="F199" i="10"/>
  <c r="L198" i="10"/>
  <c r="I198" i="10"/>
  <c r="F198" i="10"/>
  <c r="L197" i="10"/>
  <c r="I197" i="10"/>
  <c r="F197" i="10"/>
  <c r="L196" i="10"/>
  <c r="I196" i="10"/>
  <c r="F196" i="10"/>
  <c r="L195" i="10"/>
  <c r="I195" i="10"/>
  <c r="F195" i="10"/>
  <c r="L194" i="10"/>
  <c r="I194" i="10"/>
  <c r="F194" i="10"/>
  <c r="L193" i="10"/>
  <c r="I193" i="10"/>
  <c r="F193" i="10"/>
  <c r="L192" i="10"/>
  <c r="I192" i="10"/>
  <c r="F192" i="10"/>
  <c r="L191" i="10"/>
  <c r="I191" i="10"/>
  <c r="F191" i="10"/>
  <c r="L190" i="10"/>
  <c r="I190" i="10"/>
  <c r="F190" i="10"/>
  <c r="L189" i="10"/>
  <c r="I189" i="10"/>
  <c r="F189" i="10"/>
  <c r="L188" i="10"/>
  <c r="I188" i="10"/>
  <c r="F188" i="10"/>
  <c r="L187" i="10"/>
  <c r="I187" i="10"/>
  <c r="F187" i="10"/>
  <c r="L186" i="10"/>
  <c r="I186" i="10"/>
  <c r="F186" i="10"/>
  <c r="L185" i="10"/>
  <c r="I185" i="10"/>
  <c r="F185" i="10"/>
  <c r="L184" i="10"/>
  <c r="I184" i="10"/>
  <c r="F184" i="10"/>
  <c r="L183" i="10"/>
  <c r="I183" i="10"/>
  <c r="F183" i="10"/>
  <c r="L182" i="10"/>
  <c r="I182" i="10"/>
  <c r="F182" i="10"/>
  <c r="L181" i="10"/>
  <c r="I181" i="10"/>
  <c r="F181" i="10"/>
  <c r="L180" i="10"/>
  <c r="I180" i="10"/>
  <c r="F180" i="10"/>
  <c r="L179" i="10"/>
  <c r="I179" i="10"/>
  <c r="F179" i="10"/>
  <c r="L178" i="10"/>
  <c r="I178" i="10"/>
  <c r="F178" i="10"/>
  <c r="L177" i="10"/>
  <c r="I177" i="10"/>
  <c r="F177" i="10"/>
  <c r="L176" i="10"/>
  <c r="I176" i="10"/>
  <c r="F176" i="10"/>
  <c r="L175" i="10"/>
  <c r="I175" i="10"/>
  <c r="F175" i="10"/>
  <c r="L174" i="10"/>
  <c r="I174" i="10"/>
  <c r="F174" i="10"/>
  <c r="L173" i="10"/>
  <c r="I173" i="10"/>
  <c r="F173" i="10"/>
  <c r="L172" i="10"/>
  <c r="I172" i="10"/>
  <c r="F172" i="10"/>
  <c r="L171" i="10"/>
  <c r="I171" i="10"/>
  <c r="F171" i="10"/>
  <c r="L170" i="10"/>
  <c r="I170" i="10"/>
  <c r="F170" i="10"/>
  <c r="L169" i="10"/>
  <c r="I169" i="10"/>
  <c r="F169" i="10"/>
  <c r="L168" i="10"/>
  <c r="I168" i="10"/>
  <c r="F168" i="10"/>
  <c r="L167" i="10"/>
  <c r="I167" i="10"/>
  <c r="F167" i="10"/>
  <c r="L166" i="10"/>
  <c r="I166" i="10"/>
  <c r="F166" i="10"/>
  <c r="L165" i="10"/>
  <c r="I165" i="10"/>
  <c r="F165" i="10"/>
  <c r="L164" i="10"/>
  <c r="I164" i="10"/>
  <c r="F164" i="10"/>
  <c r="L163" i="10"/>
  <c r="I163" i="10"/>
  <c r="F163" i="10"/>
  <c r="L162" i="10"/>
  <c r="I162" i="10"/>
  <c r="F162" i="10"/>
  <c r="L161" i="10"/>
  <c r="I161" i="10"/>
  <c r="F161" i="10"/>
  <c r="L160" i="10"/>
  <c r="I160" i="10"/>
  <c r="F160" i="10"/>
  <c r="L159" i="10"/>
  <c r="I159" i="10"/>
  <c r="F159" i="10"/>
  <c r="L158" i="10"/>
  <c r="I158" i="10"/>
  <c r="F158" i="10"/>
  <c r="L157" i="10"/>
  <c r="I157" i="10"/>
  <c r="F157" i="10"/>
  <c r="L156" i="10"/>
  <c r="I156" i="10"/>
  <c r="F156" i="10"/>
  <c r="L155" i="10"/>
  <c r="I155" i="10"/>
  <c r="F155" i="10"/>
  <c r="L154" i="10"/>
  <c r="I154" i="10"/>
  <c r="F154" i="10"/>
  <c r="L153" i="10"/>
  <c r="I153" i="10"/>
  <c r="F153" i="10"/>
  <c r="L152" i="10"/>
  <c r="I152" i="10"/>
  <c r="F152" i="10"/>
  <c r="L151" i="10"/>
  <c r="I151" i="10"/>
  <c r="F151" i="10"/>
  <c r="L150" i="10"/>
  <c r="I150" i="10"/>
  <c r="F150" i="10"/>
  <c r="L149" i="10"/>
  <c r="I149" i="10"/>
  <c r="F149" i="10"/>
  <c r="L148" i="10"/>
  <c r="I148" i="10"/>
  <c r="F148" i="10"/>
  <c r="L147" i="10"/>
  <c r="I147" i="10"/>
  <c r="F147" i="10"/>
  <c r="L146" i="10"/>
  <c r="I146" i="10"/>
  <c r="F146" i="10"/>
  <c r="L145" i="10"/>
  <c r="I145" i="10"/>
  <c r="F145" i="10"/>
  <c r="L144" i="10"/>
  <c r="I144" i="10"/>
  <c r="F144" i="10"/>
  <c r="L143" i="10"/>
  <c r="I143" i="10"/>
  <c r="F143" i="10"/>
  <c r="L142" i="10"/>
  <c r="I142" i="10"/>
  <c r="F142" i="10"/>
  <c r="L141" i="10"/>
  <c r="I141" i="10"/>
  <c r="F141" i="10"/>
  <c r="L140" i="10"/>
  <c r="I140" i="10"/>
  <c r="F140" i="10"/>
  <c r="L139" i="10"/>
  <c r="I139" i="10"/>
  <c r="F139" i="10"/>
  <c r="L138" i="10"/>
  <c r="I138" i="10"/>
  <c r="F138" i="10"/>
  <c r="L137" i="10"/>
  <c r="I137" i="10"/>
  <c r="F137" i="10"/>
  <c r="L136" i="10"/>
  <c r="I136" i="10"/>
  <c r="F136" i="10"/>
  <c r="L135" i="10"/>
  <c r="I135" i="10"/>
  <c r="F135" i="10"/>
  <c r="L134" i="10"/>
  <c r="I134" i="10"/>
  <c r="F134" i="10"/>
  <c r="L133" i="10"/>
  <c r="I133" i="10"/>
  <c r="F133" i="10"/>
  <c r="L132" i="10"/>
  <c r="I132" i="10"/>
  <c r="F132" i="10"/>
  <c r="L131" i="10"/>
  <c r="I131" i="10"/>
  <c r="F131" i="10"/>
  <c r="L130" i="10"/>
  <c r="I130" i="10"/>
  <c r="F130" i="10"/>
  <c r="L129" i="10"/>
  <c r="I129" i="10"/>
  <c r="F129" i="10"/>
  <c r="L128" i="10"/>
  <c r="I128" i="10"/>
  <c r="F128" i="10"/>
  <c r="L127" i="10"/>
  <c r="I127" i="10"/>
  <c r="F127" i="10"/>
  <c r="L126" i="10"/>
  <c r="I126" i="10"/>
  <c r="F126" i="10"/>
  <c r="L125" i="10"/>
  <c r="I125" i="10"/>
  <c r="F125" i="10"/>
  <c r="L124" i="10"/>
  <c r="I124" i="10"/>
  <c r="F124" i="10"/>
  <c r="L123" i="10"/>
  <c r="I123" i="10"/>
  <c r="F123" i="10"/>
  <c r="L122" i="10"/>
  <c r="I122" i="10"/>
  <c r="F122" i="10"/>
  <c r="L121" i="10"/>
  <c r="I121" i="10"/>
  <c r="F121" i="10"/>
  <c r="L120" i="10"/>
  <c r="I120" i="10"/>
  <c r="F120" i="10"/>
  <c r="L119" i="10"/>
  <c r="I119" i="10"/>
  <c r="F119" i="10"/>
  <c r="L118" i="10"/>
  <c r="I118" i="10"/>
  <c r="F118" i="10"/>
  <c r="L117" i="10"/>
  <c r="I117" i="10"/>
  <c r="F117" i="10"/>
  <c r="L116" i="10"/>
  <c r="I116" i="10"/>
  <c r="F116" i="10"/>
  <c r="L115" i="10"/>
  <c r="I115" i="10"/>
  <c r="F115" i="10"/>
  <c r="L114" i="10"/>
  <c r="I114" i="10"/>
  <c r="F114" i="10"/>
  <c r="L113" i="10"/>
  <c r="I113" i="10"/>
  <c r="F113" i="10"/>
  <c r="L112" i="10"/>
  <c r="I112" i="10"/>
  <c r="F112" i="10"/>
  <c r="L111" i="10"/>
  <c r="I111" i="10"/>
  <c r="F111" i="10"/>
  <c r="L110" i="10"/>
  <c r="I110" i="10"/>
  <c r="F110" i="10"/>
  <c r="L109" i="10"/>
  <c r="I109" i="10"/>
  <c r="F109" i="10"/>
  <c r="L108" i="10"/>
  <c r="I108" i="10"/>
  <c r="F108" i="10"/>
  <c r="L107" i="10"/>
  <c r="I107" i="10"/>
  <c r="F107" i="10"/>
  <c r="L106" i="10"/>
  <c r="I106" i="10"/>
  <c r="F106" i="10"/>
  <c r="L105" i="10"/>
  <c r="I105" i="10"/>
  <c r="F105" i="10"/>
  <c r="L104" i="10"/>
  <c r="I104" i="10"/>
  <c r="F104" i="10"/>
  <c r="L103" i="10"/>
  <c r="I103" i="10"/>
  <c r="F103" i="10"/>
  <c r="L102" i="10"/>
  <c r="I102" i="10"/>
  <c r="F102" i="10"/>
  <c r="L101" i="10"/>
  <c r="I101" i="10"/>
  <c r="F101" i="10"/>
  <c r="L100" i="10"/>
  <c r="I100" i="10"/>
  <c r="F100" i="10"/>
  <c r="L99" i="10"/>
  <c r="I99" i="10"/>
  <c r="F99" i="10"/>
  <c r="L98" i="10"/>
  <c r="I98" i="10"/>
  <c r="F98" i="10"/>
  <c r="L97" i="10"/>
  <c r="I97" i="10"/>
  <c r="F97" i="10"/>
  <c r="L96" i="10"/>
  <c r="I96" i="10"/>
  <c r="F96" i="10"/>
  <c r="L95" i="10"/>
  <c r="I95" i="10"/>
  <c r="F95" i="10"/>
  <c r="L94" i="10"/>
  <c r="I94" i="10"/>
  <c r="F94" i="10"/>
  <c r="L93" i="10"/>
  <c r="I93" i="10"/>
  <c r="F93" i="10"/>
  <c r="L92" i="10"/>
  <c r="I92" i="10"/>
  <c r="F92" i="10"/>
  <c r="L91" i="10"/>
  <c r="I91" i="10"/>
  <c r="F91" i="10"/>
  <c r="L90" i="10"/>
  <c r="I90" i="10"/>
  <c r="F90" i="10"/>
  <c r="L89" i="10"/>
  <c r="I89" i="10"/>
  <c r="F89" i="10"/>
  <c r="L88" i="10"/>
  <c r="I88" i="10"/>
  <c r="F88" i="10"/>
  <c r="L87" i="10"/>
  <c r="I87" i="10"/>
  <c r="F87" i="10"/>
  <c r="L86" i="10"/>
  <c r="I86" i="10"/>
  <c r="F86" i="10"/>
  <c r="L85" i="10"/>
  <c r="I85" i="10"/>
  <c r="F85" i="10"/>
  <c r="L84" i="10"/>
  <c r="I84" i="10"/>
  <c r="F84" i="10"/>
  <c r="L83" i="10"/>
  <c r="I83" i="10"/>
  <c r="F83" i="10"/>
  <c r="L82" i="10"/>
  <c r="I82" i="10"/>
  <c r="F82" i="10"/>
  <c r="L81" i="10"/>
  <c r="I81" i="10"/>
  <c r="F81" i="10"/>
  <c r="L80" i="10"/>
  <c r="I80" i="10"/>
  <c r="F80" i="10"/>
  <c r="L79" i="10"/>
  <c r="I79" i="10"/>
  <c r="F79" i="10"/>
  <c r="L78" i="10"/>
  <c r="I78" i="10"/>
  <c r="F78" i="10"/>
  <c r="L77" i="10"/>
  <c r="I77" i="10"/>
  <c r="F77" i="10"/>
  <c r="L76" i="10"/>
  <c r="I76" i="10"/>
  <c r="F76" i="10"/>
  <c r="L75" i="10"/>
  <c r="I75" i="10"/>
  <c r="F75" i="10"/>
  <c r="L74" i="10"/>
  <c r="I74" i="10"/>
  <c r="F74" i="10"/>
  <c r="L73" i="10"/>
  <c r="I73" i="10"/>
  <c r="F73" i="10"/>
  <c r="L72" i="10"/>
  <c r="I72" i="10"/>
  <c r="F72" i="10"/>
  <c r="L71" i="10"/>
  <c r="I71" i="10"/>
  <c r="F71" i="10"/>
  <c r="L70" i="10"/>
  <c r="I70" i="10"/>
  <c r="F70" i="10"/>
  <c r="L69" i="10"/>
  <c r="I69" i="10"/>
  <c r="F69" i="10"/>
  <c r="L68" i="10"/>
  <c r="I68" i="10"/>
  <c r="F68" i="10"/>
  <c r="L67" i="10"/>
  <c r="I67" i="10"/>
  <c r="F67" i="10"/>
  <c r="L66" i="10"/>
  <c r="I66" i="10"/>
  <c r="F66" i="10"/>
  <c r="L65" i="10"/>
  <c r="I65" i="10"/>
  <c r="F65" i="10"/>
  <c r="L64" i="10"/>
  <c r="I64" i="10"/>
  <c r="F64" i="10"/>
  <c r="L63" i="10"/>
  <c r="I63" i="10"/>
  <c r="F63" i="10"/>
  <c r="L62" i="10"/>
  <c r="I62" i="10"/>
  <c r="F62" i="10"/>
  <c r="L61" i="10"/>
  <c r="I61" i="10"/>
  <c r="F61" i="10"/>
  <c r="L60" i="10"/>
  <c r="I60" i="10"/>
  <c r="F60" i="10"/>
  <c r="L59" i="10"/>
  <c r="I59" i="10"/>
  <c r="F59" i="10"/>
  <c r="L58" i="10"/>
  <c r="I58" i="10"/>
  <c r="F58" i="10"/>
  <c r="L57" i="10"/>
  <c r="I57" i="10"/>
  <c r="F57" i="10"/>
  <c r="L56" i="10"/>
  <c r="I56" i="10"/>
  <c r="F56" i="10"/>
  <c r="L55" i="10"/>
  <c r="I55" i="10"/>
  <c r="F55" i="10"/>
  <c r="L54" i="10"/>
  <c r="I54" i="10"/>
  <c r="F54" i="10"/>
  <c r="L53" i="10"/>
  <c r="I53" i="10"/>
  <c r="F53" i="10"/>
  <c r="L52" i="10"/>
  <c r="I52" i="10"/>
  <c r="F52" i="10"/>
  <c r="L51" i="10"/>
  <c r="I51" i="10"/>
  <c r="F51" i="10"/>
  <c r="L50" i="10"/>
  <c r="I50" i="10"/>
  <c r="F50" i="10"/>
  <c r="L49" i="10"/>
  <c r="I49" i="10"/>
  <c r="F49" i="10"/>
  <c r="L48" i="10"/>
  <c r="I48" i="10"/>
  <c r="F48" i="10"/>
  <c r="L47" i="10"/>
  <c r="I47" i="10"/>
  <c r="F47" i="10"/>
  <c r="L46" i="10"/>
  <c r="I46" i="10"/>
  <c r="F46" i="10"/>
  <c r="L45" i="10"/>
  <c r="I45" i="10"/>
  <c r="F45" i="10"/>
  <c r="L44" i="10"/>
  <c r="I44" i="10"/>
  <c r="F44" i="10"/>
  <c r="L43" i="10"/>
  <c r="I43" i="10"/>
  <c r="F43" i="10"/>
  <c r="L42" i="10"/>
  <c r="I42" i="10"/>
  <c r="F42" i="10"/>
  <c r="L41" i="10"/>
  <c r="I41" i="10"/>
  <c r="F41" i="10"/>
  <c r="L40" i="10"/>
  <c r="I40" i="10"/>
  <c r="F40" i="10"/>
  <c r="L39" i="10"/>
  <c r="I39" i="10"/>
  <c r="F39" i="10"/>
  <c r="L38" i="10"/>
  <c r="I38" i="10"/>
  <c r="F38" i="10"/>
  <c r="L37" i="10"/>
  <c r="I37" i="10"/>
  <c r="F37" i="10"/>
  <c r="L36" i="10"/>
  <c r="I36" i="10"/>
  <c r="F36" i="10"/>
  <c r="L35" i="10"/>
  <c r="I35" i="10"/>
  <c r="F35" i="10"/>
  <c r="L34" i="10"/>
  <c r="I34" i="10"/>
  <c r="F34" i="10"/>
  <c r="L33" i="10"/>
  <c r="I33" i="10"/>
  <c r="F33" i="10"/>
  <c r="L32" i="10"/>
  <c r="I32" i="10"/>
  <c r="F32" i="10"/>
  <c r="L31" i="10"/>
  <c r="I31" i="10"/>
  <c r="F31" i="10"/>
  <c r="L30" i="10"/>
  <c r="I30" i="10"/>
  <c r="F30" i="10"/>
  <c r="L29" i="10"/>
  <c r="I29" i="10"/>
  <c r="F29" i="10"/>
  <c r="L28" i="10"/>
  <c r="I28" i="10"/>
  <c r="F28" i="10"/>
  <c r="L27" i="10"/>
  <c r="I27" i="10"/>
  <c r="F27" i="10"/>
  <c r="L26" i="10"/>
  <c r="I26" i="10"/>
  <c r="F26" i="10"/>
  <c r="L25" i="10"/>
  <c r="I25" i="10"/>
  <c r="F25" i="10"/>
  <c r="L24" i="10"/>
  <c r="I24" i="10"/>
  <c r="F24" i="10"/>
  <c r="L23" i="10"/>
  <c r="I23" i="10"/>
  <c r="F23" i="10"/>
  <c r="L22" i="10"/>
  <c r="I22" i="10"/>
  <c r="F22" i="10"/>
  <c r="L21" i="10"/>
  <c r="I21" i="10"/>
  <c r="F21" i="10"/>
  <c r="L20" i="10"/>
  <c r="I20" i="10"/>
  <c r="F20" i="10"/>
  <c r="L19" i="10"/>
  <c r="I19" i="10"/>
  <c r="F19" i="10"/>
  <c r="L18" i="10"/>
  <c r="I18" i="10"/>
  <c r="F18" i="10"/>
  <c r="L17" i="10"/>
  <c r="I17" i="10"/>
  <c r="F17" i="10"/>
  <c r="L16" i="10"/>
  <c r="I16" i="10"/>
  <c r="F16" i="10"/>
  <c r="L15" i="10"/>
  <c r="I15" i="10"/>
  <c r="F15" i="10"/>
  <c r="L14" i="10"/>
  <c r="I14" i="10"/>
  <c r="F14" i="10"/>
  <c r="L13" i="10"/>
  <c r="I13" i="10"/>
  <c r="F13" i="10"/>
  <c r="L12" i="10"/>
  <c r="I12" i="10"/>
  <c r="F12" i="10"/>
  <c r="L11" i="10"/>
  <c r="I11" i="10"/>
  <c r="F11" i="10"/>
  <c r="L10" i="10"/>
  <c r="I10" i="10"/>
  <c r="F10" i="10"/>
  <c r="L9" i="10"/>
  <c r="I9" i="10"/>
  <c r="F9" i="10"/>
  <c r="L8" i="10"/>
  <c r="I8" i="10"/>
  <c r="F8" i="10"/>
  <c r="L7" i="10"/>
  <c r="I7" i="10"/>
  <c r="F7" i="10"/>
  <c r="L6" i="10"/>
  <c r="I6" i="10"/>
  <c r="F6" i="10"/>
  <c r="L5" i="10"/>
  <c r="I5" i="10"/>
  <c r="F5" i="10"/>
  <c r="L4" i="10"/>
  <c r="I4" i="10"/>
  <c r="F4" i="10"/>
  <c r="L3" i="10"/>
  <c r="I3" i="10"/>
  <c r="F3" i="10"/>
  <c r="L2" i="10"/>
  <c r="I2" i="10"/>
  <c r="F2" i="10"/>
  <c r="Q232" i="5"/>
  <c r="O8" i="6" s="1"/>
  <c r="P232" i="5"/>
  <c r="N8" i="6" s="1"/>
  <c r="O232" i="5"/>
  <c r="M8" i="6" s="1"/>
  <c r="N232" i="5"/>
  <c r="L8" i="6" s="1"/>
  <c r="M232" i="5"/>
  <c r="K8" i="6" s="1"/>
  <c r="K232" i="5"/>
  <c r="I8" i="6" s="1"/>
  <c r="J232" i="5"/>
  <c r="L232" i="5" s="1"/>
  <c r="H232" i="5"/>
  <c r="F8" i="6" s="1"/>
  <c r="G232" i="5"/>
  <c r="E8" i="6" s="1"/>
  <c r="E232" i="5"/>
  <c r="C8" i="6" s="1"/>
  <c r="D232" i="5"/>
  <c r="B8" i="6" s="1"/>
  <c r="R231" i="5"/>
  <c r="R232" i="5" s="1"/>
  <c r="P8" i="6" s="1"/>
  <c r="L231" i="5"/>
  <c r="I231" i="5"/>
  <c r="F231" i="5"/>
  <c r="L214" i="5"/>
  <c r="I214" i="5"/>
  <c r="F214" i="5"/>
  <c r="L213" i="5"/>
  <c r="I213" i="5"/>
  <c r="F213" i="5"/>
  <c r="L212" i="5"/>
  <c r="I212" i="5"/>
  <c r="F212" i="5"/>
  <c r="L211" i="5"/>
  <c r="I211" i="5"/>
  <c r="F211" i="5"/>
  <c r="L210" i="5"/>
  <c r="I210" i="5"/>
  <c r="F210" i="5"/>
  <c r="L209" i="5"/>
  <c r="I209" i="5"/>
  <c r="F209" i="5"/>
  <c r="L208" i="5"/>
  <c r="I208" i="5"/>
  <c r="F208" i="5"/>
  <c r="L207" i="5"/>
  <c r="I207" i="5"/>
  <c r="F207" i="5"/>
  <c r="L206" i="5"/>
  <c r="I206" i="5"/>
  <c r="F206" i="5"/>
  <c r="L205" i="5"/>
  <c r="I205" i="5"/>
  <c r="F205" i="5"/>
  <c r="L204" i="5"/>
  <c r="I204" i="5"/>
  <c r="F204" i="5"/>
  <c r="L203" i="5"/>
  <c r="I203" i="5"/>
  <c r="F203" i="5"/>
  <c r="L202" i="5"/>
  <c r="I202" i="5"/>
  <c r="F202" i="5"/>
  <c r="L201" i="5"/>
  <c r="I201" i="5"/>
  <c r="F201" i="5"/>
  <c r="L200" i="5"/>
  <c r="I200" i="5"/>
  <c r="F200" i="5"/>
  <c r="L199" i="5"/>
  <c r="I199" i="5"/>
  <c r="F199" i="5"/>
  <c r="L198" i="5"/>
  <c r="I198" i="5"/>
  <c r="F198" i="5"/>
  <c r="L197" i="5"/>
  <c r="I197" i="5"/>
  <c r="F197" i="5"/>
  <c r="L196" i="5"/>
  <c r="I196" i="5"/>
  <c r="F196" i="5"/>
  <c r="L195" i="5"/>
  <c r="I195" i="5"/>
  <c r="F195" i="5"/>
  <c r="L194" i="5"/>
  <c r="I194" i="5"/>
  <c r="F194" i="5"/>
  <c r="L193" i="5"/>
  <c r="I193" i="5"/>
  <c r="F193" i="5"/>
  <c r="L192" i="5"/>
  <c r="I192" i="5"/>
  <c r="F192" i="5"/>
  <c r="L191" i="5"/>
  <c r="I191" i="5"/>
  <c r="F191" i="5"/>
  <c r="L190" i="5"/>
  <c r="I190" i="5"/>
  <c r="F190" i="5"/>
  <c r="L189" i="5"/>
  <c r="I189" i="5"/>
  <c r="F189" i="5"/>
  <c r="L188" i="5"/>
  <c r="I188" i="5"/>
  <c r="F188" i="5"/>
  <c r="L187" i="5"/>
  <c r="I187" i="5"/>
  <c r="F187" i="5"/>
  <c r="L186" i="5"/>
  <c r="I186" i="5"/>
  <c r="F186" i="5"/>
  <c r="L185" i="5"/>
  <c r="I185" i="5"/>
  <c r="F185" i="5"/>
  <c r="L184" i="5"/>
  <c r="I184" i="5"/>
  <c r="F184" i="5"/>
  <c r="L183" i="5"/>
  <c r="I183" i="5"/>
  <c r="F183" i="5"/>
  <c r="L182" i="5"/>
  <c r="I182" i="5"/>
  <c r="F182" i="5"/>
  <c r="L181" i="5"/>
  <c r="I181" i="5"/>
  <c r="F181" i="5"/>
  <c r="L180" i="5"/>
  <c r="I180" i="5"/>
  <c r="F180" i="5"/>
  <c r="L179" i="5"/>
  <c r="I179" i="5"/>
  <c r="F179" i="5"/>
  <c r="L178" i="5"/>
  <c r="I178" i="5"/>
  <c r="F178" i="5"/>
  <c r="L177" i="5"/>
  <c r="I177" i="5"/>
  <c r="F177" i="5"/>
  <c r="L176" i="5"/>
  <c r="I176" i="5"/>
  <c r="F176" i="5"/>
  <c r="L175" i="5"/>
  <c r="I175" i="5"/>
  <c r="F175" i="5"/>
  <c r="L174" i="5"/>
  <c r="I174" i="5"/>
  <c r="F174" i="5"/>
  <c r="L173" i="5"/>
  <c r="I173" i="5"/>
  <c r="F173" i="5"/>
  <c r="L172" i="5"/>
  <c r="I172" i="5"/>
  <c r="F172" i="5"/>
  <c r="L171" i="5"/>
  <c r="I171" i="5"/>
  <c r="F171" i="5"/>
  <c r="L170" i="5"/>
  <c r="I170" i="5"/>
  <c r="F170" i="5"/>
  <c r="L169" i="5"/>
  <c r="I169" i="5"/>
  <c r="F169" i="5"/>
  <c r="L168" i="5"/>
  <c r="I168" i="5"/>
  <c r="F168" i="5"/>
  <c r="L167" i="5"/>
  <c r="I167" i="5"/>
  <c r="F167" i="5"/>
  <c r="L166" i="5"/>
  <c r="I166" i="5"/>
  <c r="F166" i="5"/>
  <c r="L165" i="5"/>
  <c r="I165" i="5"/>
  <c r="F165" i="5"/>
  <c r="L164" i="5"/>
  <c r="I164" i="5"/>
  <c r="F164" i="5"/>
  <c r="L163" i="5"/>
  <c r="I163" i="5"/>
  <c r="F163" i="5"/>
  <c r="L162" i="5"/>
  <c r="I162" i="5"/>
  <c r="F162" i="5"/>
  <c r="L161" i="5"/>
  <c r="I161" i="5"/>
  <c r="F161" i="5"/>
  <c r="L160" i="5"/>
  <c r="I160" i="5"/>
  <c r="F160" i="5"/>
  <c r="L159" i="5"/>
  <c r="I159" i="5"/>
  <c r="F159" i="5"/>
  <c r="L158" i="5"/>
  <c r="I158" i="5"/>
  <c r="F158" i="5"/>
  <c r="L157" i="5"/>
  <c r="I157" i="5"/>
  <c r="F157" i="5"/>
  <c r="L156" i="5"/>
  <c r="I156" i="5"/>
  <c r="F156" i="5"/>
  <c r="L155" i="5"/>
  <c r="I155" i="5"/>
  <c r="F155" i="5"/>
  <c r="L154" i="5"/>
  <c r="I154" i="5"/>
  <c r="F154" i="5"/>
  <c r="L153" i="5"/>
  <c r="I153" i="5"/>
  <c r="F153" i="5"/>
  <c r="L152" i="5"/>
  <c r="I152" i="5"/>
  <c r="F152" i="5"/>
  <c r="L151" i="5"/>
  <c r="I151" i="5"/>
  <c r="F151" i="5"/>
  <c r="L150" i="5"/>
  <c r="I150" i="5"/>
  <c r="F150" i="5"/>
  <c r="L149" i="5"/>
  <c r="I149" i="5"/>
  <c r="F149" i="5"/>
  <c r="L148" i="5"/>
  <c r="I148" i="5"/>
  <c r="F148" i="5"/>
  <c r="L147" i="5"/>
  <c r="I147" i="5"/>
  <c r="F147" i="5"/>
  <c r="L146" i="5"/>
  <c r="I146" i="5"/>
  <c r="F146" i="5"/>
  <c r="L145" i="5"/>
  <c r="I145" i="5"/>
  <c r="F145" i="5"/>
  <c r="L144" i="5"/>
  <c r="I144" i="5"/>
  <c r="F144" i="5"/>
  <c r="L143" i="5"/>
  <c r="I143" i="5"/>
  <c r="F143" i="5"/>
  <c r="L142" i="5"/>
  <c r="I142" i="5"/>
  <c r="F142" i="5"/>
  <c r="L141" i="5"/>
  <c r="I141" i="5"/>
  <c r="F141" i="5"/>
  <c r="L140" i="5"/>
  <c r="I140" i="5"/>
  <c r="F140" i="5"/>
  <c r="L139" i="5"/>
  <c r="I139" i="5"/>
  <c r="F139" i="5"/>
  <c r="L138" i="5"/>
  <c r="I138" i="5"/>
  <c r="F138" i="5"/>
  <c r="L137" i="5"/>
  <c r="I137" i="5"/>
  <c r="F137" i="5"/>
  <c r="L136" i="5"/>
  <c r="I136" i="5"/>
  <c r="F136" i="5"/>
  <c r="L135" i="5"/>
  <c r="I135" i="5"/>
  <c r="F135" i="5"/>
  <c r="L134" i="5"/>
  <c r="I134" i="5"/>
  <c r="F134" i="5"/>
  <c r="L133" i="5"/>
  <c r="I133" i="5"/>
  <c r="F133" i="5"/>
  <c r="L132" i="5"/>
  <c r="I132" i="5"/>
  <c r="F132" i="5"/>
  <c r="L131" i="5"/>
  <c r="I131" i="5"/>
  <c r="F131" i="5"/>
  <c r="L130" i="5"/>
  <c r="I130" i="5"/>
  <c r="F130" i="5"/>
  <c r="L129" i="5"/>
  <c r="I129" i="5"/>
  <c r="F129" i="5"/>
  <c r="L128" i="5"/>
  <c r="I128" i="5"/>
  <c r="F128" i="5"/>
  <c r="L127" i="5"/>
  <c r="I127" i="5"/>
  <c r="F127" i="5"/>
  <c r="L126" i="5"/>
  <c r="I126" i="5"/>
  <c r="F126" i="5"/>
  <c r="L125" i="5"/>
  <c r="I125" i="5"/>
  <c r="F125" i="5"/>
  <c r="L124" i="5"/>
  <c r="I124" i="5"/>
  <c r="F124" i="5"/>
  <c r="L123" i="5"/>
  <c r="I123" i="5"/>
  <c r="F123" i="5"/>
  <c r="L122" i="5"/>
  <c r="I122" i="5"/>
  <c r="F122" i="5"/>
  <c r="L121" i="5"/>
  <c r="I121" i="5"/>
  <c r="F121" i="5"/>
  <c r="L120" i="5"/>
  <c r="I120" i="5"/>
  <c r="F120" i="5"/>
  <c r="L119" i="5"/>
  <c r="I119" i="5"/>
  <c r="F119" i="5"/>
  <c r="L118" i="5"/>
  <c r="I118" i="5"/>
  <c r="F118" i="5"/>
  <c r="L117" i="5"/>
  <c r="I117" i="5"/>
  <c r="F117" i="5"/>
  <c r="L116" i="5"/>
  <c r="I116" i="5"/>
  <c r="F116" i="5"/>
  <c r="L115" i="5"/>
  <c r="I115" i="5"/>
  <c r="F115" i="5"/>
  <c r="L114" i="5"/>
  <c r="I114" i="5"/>
  <c r="F114" i="5"/>
  <c r="L113" i="5"/>
  <c r="I113" i="5"/>
  <c r="F113" i="5"/>
  <c r="L112" i="5"/>
  <c r="I112" i="5"/>
  <c r="F112" i="5"/>
  <c r="L111" i="5"/>
  <c r="I111" i="5"/>
  <c r="F111" i="5"/>
  <c r="L110" i="5"/>
  <c r="I110" i="5"/>
  <c r="F110" i="5"/>
  <c r="L109" i="5"/>
  <c r="I109" i="5"/>
  <c r="F109" i="5"/>
  <c r="L108" i="5"/>
  <c r="I108" i="5"/>
  <c r="F108" i="5"/>
  <c r="L107" i="5"/>
  <c r="I107" i="5"/>
  <c r="F107" i="5"/>
  <c r="L106" i="5"/>
  <c r="I106" i="5"/>
  <c r="F106" i="5"/>
  <c r="L105" i="5"/>
  <c r="I105" i="5"/>
  <c r="F105" i="5"/>
  <c r="L104" i="5"/>
  <c r="I104" i="5"/>
  <c r="F104" i="5"/>
  <c r="L103" i="5"/>
  <c r="I103" i="5"/>
  <c r="F103" i="5"/>
  <c r="L102" i="5"/>
  <c r="I102" i="5"/>
  <c r="F102" i="5"/>
  <c r="L101" i="5"/>
  <c r="I101" i="5"/>
  <c r="F101" i="5"/>
  <c r="L100" i="5"/>
  <c r="I100" i="5"/>
  <c r="F100" i="5"/>
  <c r="L99" i="5"/>
  <c r="I99" i="5"/>
  <c r="F99" i="5"/>
  <c r="L98" i="5"/>
  <c r="I98" i="5"/>
  <c r="F98" i="5"/>
  <c r="L97" i="5"/>
  <c r="I97" i="5"/>
  <c r="F97" i="5"/>
  <c r="L96" i="5"/>
  <c r="I96" i="5"/>
  <c r="F96" i="5"/>
  <c r="L95" i="5"/>
  <c r="I95" i="5"/>
  <c r="F95" i="5"/>
  <c r="L94" i="5"/>
  <c r="I94" i="5"/>
  <c r="F94" i="5"/>
  <c r="L93" i="5"/>
  <c r="I93" i="5"/>
  <c r="F93" i="5"/>
  <c r="L92" i="5"/>
  <c r="I92" i="5"/>
  <c r="F92" i="5"/>
  <c r="L91" i="5"/>
  <c r="I91" i="5"/>
  <c r="F91" i="5"/>
  <c r="L90" i="5"/>
  <c r="I90" i="5"/>
  <c r="F90" i="5"/>
  <c r="L89" i="5"/>
  <c r="I89" i="5"/>
  <c r="F89" i="5"/>
  <c r="L88" i="5"/>
  <c r="I88" i="5"/>
  <c r="F88" i="5"/>
  <c r="L87" i="5"/>
  <c r="I87" i="5"/>
  <c r="F87" i="5"/>
  <c r="L86" i="5"/>
  <c r="I86" i="5"/>
  <c r="F86" i="5"/>
  <c r="L85" i="5"/>
  <c r="I85" i="5"/>
  <c r="F85" i="5"/>
  <c r="L84" i="5"/>
  <c r="I84" i="5"/>
  <c r="F84" i="5"/>
  <c r="L83" i="5"/>
  <c r="I83" i="5"/>
  <c r="F83" i="5"/>
  <c r="L82" i="5"/>
  <c r="I82" i="5"/>
  <c r="F82" i="5"/>
  <c r="L81" i="5"/>
  <c r="I81" i="5"/>
  <c r="F81" i="5"/>
  <c r="L80" i="5"/>
  <c r="I80" i="5"/>
  <c r="F80" i="5"/>
  <c r="L79" i="5"/>
  <c r="I79" i="5"/>
  <c r="F79" i="5"/>
  <c r="L78" i="5"/>
  <c r="I78" i="5"/>
  <c r="F78" i="5"/>
  <c r="L77" i="5"/>
  <c r="I77" i="5"/>
  <c r="F77" i="5"/>
  <c r="L76" i="5"/>
  <c r="I76" i="5"/>
  <c r="F76" i="5"/>
  <c r="L75" i="5"/>
  <c r="I75" i="5"/>
  <c r="F75" i="5"/>
  <c r="L74" i="5"/>
  <c r="I74" i="5"/>
  <c r="F74" i="5"/>
  <c r="L73" i="5"/>
  <c r="I73" i="5"/>
  <c r="F73" i="5"/>
  <c r="L72" i="5"/>
  <c r="I72" i="5"/>
  <c r="F72" i="5"/>
  <c r="L71" i="5"/>
  <c r="I71" i="5"/>
  <c r="F71" i="5"/>
  <c r="L70" i="5"/>
  <c r="I70" i="5"/>
  <c r="F70" i="5"/>
  <c r="L69" i="5"/>
  <c r="I69" i="5"/>
  <c r="F69" i="5"/>
  <c r="L68" i="5"/>
  <c r="I68" i="5"/>
  <c r="F68" i="5"/>
  <c r="L67" i="5"/>
  <c r="I67" i="5"/>
  <c r="F67" i="5"/>
  <c r="L66" i="5"/>
  <c r="I66" i="5"/>
  <c r="F66" i="5"/>
  <c r="L65" i="5"/>
  <c r="I65" i="5"/>
  <c r="F65" i="5"/>
  <c r="L64" i="5"/>
  <c r="I64" i="5"/>
  <c r="F64" i="5"/>
  <c r="L63" i="5"/>
  <c r="I63" i="5"/>
  <c r="F63" i="5"/>
  <c r="L62" i="5"/>
  <c r="I62" i="5"/>
  <c r="F62" i="5"/>
  <c r="L61" i="5"/>
  <c r="I61" i="5"/>
  <c r="F61" i="5"/>
  <c r="L60" i="5"/>
  <c r="I60" i="5"/>
  <c r="F60" i="5"/>
  <c r="L59" i="5"/>
  <c r="I59" i="5"/>
  <c r="F59" i="5"/>
  <c r="L58" i="5"/>
  <c r="I58" i="5"/>
  <c r="F58" i="5"/>
  <c r="L57" i="5"/>
  <c r="I57" i="5"/>
  <c r="F57" i="5"/>
  <c r="L56" i="5"/>
  <c r="I56" i="5"/>
  <c r="F56" i="5"/>
  <c r="L55" i="5"/>
  <c r="I55" i="5"/>
  <c r="F55" i="5"/>
  <c r="L54" i="5"/>
  <c r="I54" i="5"/>
  <c r="F54" i="5"/>
  <c r="L53" i="5"/>
  <c r="I53" i="5"/>
  <c r="F53" i="5"/>
  <c r="L52" i="5"/>
  <c r="I52" i="5"/>
  <c r="F52" i="5"/>
  <c r="L51" i="5"/>
  <c r="I51" i="5"/>
  <c r="F51" i="5"/>
  <c r="L50" i="5"/>
  <c r="I50" i="5"/>
  <c r="F50" i="5"/>
  <c r="L49" i="5"/>
  <c r="I49" i="5"/>
  <c r="F49" i="5"/>
  <c r="L48" i="5"/>
  <c r="I48" i="5"/>
  <c r="F48" i="5"/>
  <c r="L47" i="5"/>
  <c r="I47" i="5"/>
  <c r="F47" i="5"/>
  <c r="L46" i="5"/>
  <c r="I46" i="5"/>
  <c r="F46" i="5"/>
  <c r="L45" i="5"/>
  <c r="I45" i="5"/>
  <c r="F45" i="5"/>
  <c r="L44" i="5"/>
  <c r="I44" i="5"/>
  <c r="F44" i="5"/>
  <c r="L43" i="5"/>
  <c r="I43" i="5"/>
  <c r="F43" i="5"/>
  <c r="L42" i="5"/>
  <c r="I42" i="5"/>
  <c r="F42" i="5"/>
  <c r="L41" i="5"/>
  <c r="I41" i="5"/>
  <c r="F41" i="5"/>
  <c r="L40" i="5"/>
  <c r="I40" i="5"/>
  <c r="F40" i="5"/>
  <c r="L39" i="5"/>
  <c r="I39" i="5"/>
  <c r="F39" i="5"/>
  <c r="L38" i="5"/>
  <c r="I38" i="5"/>
  <c r="F38" i="5"/>
  <c r="L37" i="5"/>
  <c r="I37" i="5"/>
  <c r="F37" i="5"/>
  <c r="L36" i="5"/>
  <c r="I36" i="5"/>
  <c r="F36" i="5"/>
  <c r="L35" i="5"/>
  <c r="I35" i="5"/>
  <c r="F35" i="5"/>
  <c r="L34" i="5"/>
  <c r="I34" i="5"/>
  <c r="F34" i="5"/>
  <c r="L33" i="5"/>
  <c r="I33" i="5"/>
  <c r="F33" i="5"/>
  <c r="L32" i="5"/>
  <c r="I32" i="5"/>
  <c r="F32" i="5"/>
  <c r="L31" i="5"/>
  <c r="I31" i="5"/>
  <c r="F31" i="5"/>
  <c r="L30" i="5"/>
  <c r="I30" i="5"/>
  <c r="F30" i="5"/>
  <c r="L29" i="5"/>
  <c r="I29" i="5"/>
  <c r="F29" i="5"/>
  <c r="L28" i="5"/>
  <c r="I28" i="5"/>
  <c r="F28" i="5"/>
  <c r="L27" i="5"/>
  <c r="I27" i="5"/>
  <c r="F27" i="5"/>
  <c r="L26" i="5"/>
  <c r="I26" i="5"/>
  <c r="F26" i="5"/>
  <c r="L25" i="5"/>
  <c r="I25" i="5"/>
  <c r="F25" i="5"/>
  <c r="L24" i="5"/>
  <c r="I24" i="5"/>
  <c r="F24" i="5"/>
  <c r="L23" i="5"/>
  <c r="I23" i="5"/>
  <c r="F23" i="5"/>
  <c r="L22" i="5"/>
  <c r="I22" i="5"/>
  <c r="F22" i="5"/>
  <c r="L21" i="5"/>
  <c r="I21" i="5"/>
  <c r="F21" i="5"/>
  <c r="L20" i="5"/>
  <c r="I20" i="5"/>
  <c r="F20" i="5"/>
  <c r="L19" i="5"/>
  <c r="I19" i="5"/>
  <c r="F19" i="5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L7" i="5"/>
  <c r="I7" i="5"/>
  <c r="F7" i="5"/>
  <c r="L6" i="5"/>
  <c r="I6" i="5"/>
  <c r="F6" i="5"/>
  <c r="L5" i="5"/>
  <c r="I5" i="5"/>
  <c r="F5" i="5"/>
  <c r="L4" i="5"/>
  <c r="I4" i="5"/>
  <c r="F4" i="5"/>
  <c r="L3" i="5"/>
  <c r="I3" i="5"/>
  <c r="F3" i="5"/>
  <c r="L2" i="5"/>
  <c r="I2" i="5"/>
  <c r="F2" i="5"/>
  <c r="R238" i="1"/>
  <c r="P5" i="6" s="1"/>
  <c r="Q238" i="1"/>
  <c r="O5" i="6" s="1"/>
  <c r="P238" i="1"/>
  <c r="N5" i="6" s="1"/>
  <c r="O238" i="1"/>
  <c r="M5" i="6" s="1"/>
  <c r="N238" i="1"/>
  <c r="L5" i="6" s="1"/>
  <c r="M238" i="1"/>
  <c r="K5" i="6" s="1"/>
  <c r="K238" i="1"/>
  <c r="I5" i="6" s="1"/>
  <c r="J238" i="1"/>
  <c r="J5" i="6" s="1"/>
  <c r="H238" i="1"/>
  <c r="F5" i="6" s="1"/>
  <c r="G238" i="1"/>
  <c r="G5" i="6" s="1"/>
  <c r="E238" i="1"/>
  <c r="C5" i="6" s="1"/>
  <c r="D238" i="1"/>
  <c r="B5" i="6" s="1"/>
  <c r="L221" i="1"/>
  <c r="I221" i="1"/>
  <c r="F221" i="1"/>
  <c r="L220" i="1"/>
  <c r="I220" i="1"/>
  <c r="F220" i="1"/>
  <c r="L219" i="1"/>
  <c r="I219" i="1"/>
  <c r="F219" i="1"/>
  <c r="L218" i="1"/>
  <c r="I218" i="1"/>
  <c r="F218" i="1"/>
  <c r="L217" i="1"/>
  <c r="I217" i="1"/>
  <c r="F217" i="1"/>
  <c r="L216" i="1"/>
  <c r="I216" i="1"/>
  <c r="F216" i="1"/>
  <c r="L215" i="1"/>
  <c r="I215" i="1"/>
  <c r="F215" i="1"/>
  <c r="L214" i="1"/>
  <c r="I214" i="1"/>
  <c r="F214" i="1"/>
  <c r="L213" i="1"/>
  <c r="I213" i="1"/>
  <c r="F213" i="1"/>
  <c r="L212" i="1"/>
  <c r="I212" i="1"/>
  <c r="F212" i="1"/>
  <c r="L211" i="1"/>
  <c r="I211" i="1"/>
  <c r="F211" i="1"/>
  <c r="L210" i="1"/>
  <c r="I210" i="1"/>
  <c r="F210" i="1"/>
  <c r="L209" i="1"/>
  <c r="I209" i="1"/>
  <c r="F209" i="1"/>
  <c r="L208" i="1"/>
  <c r="I208" i="1"/>
  <c r="F208" i="1"/>
  <c r="L207" i="1"/>
  <c r="I207" i="1"/>
  <c r="F207" i="1"/>
  <c r="L206" i="1"/>
  <c r="I206" i="1"/>
  <c r="F206" i="1"/>
  <c r="L205" i="1"/>
  <c r="I205" i="1"/>
  <c r="F205" i="1"/>
  <c r="L204" i="1"/>
  <c r="I204" i="1"/>
  <c r="F204" i="1"/>
  <c r="L203" i="1"/>
  <c r="I203" i="1"/>
  <c r="F203" i="1"/>
  <c r="L202" i="1"/>
  <c r="I202" i="1"/>
  <c r="F202" i="1"/>
  <c r="L201" i="1"/>
  <c r="I201" i="1"/>
  <c r="F201" i="1"/>
  <c r="L200" i="1"/>
  <c r="I200" i="1"/>
  <c r="F200" i="1"/>
  <c r="L199" i="1"/>
  <c r="I199" i="1"/>
  <c r="F199" i="1"/>
  <c r="L198" i="1"/>
  <c r="I198" i="1"/>
  <c r="F198" i="1"/>
  <c r="L197" i="1"/>
  <c r="I197" i="1"/>
  <c r="F197" i="1"/>
  <c r="L196" i="1"/>
  <c r="I196" i="1"/>
  <c r="F196" i="1"/>
  <c r="L195" i="1"/>
  <c r="I195" i="1"/>
  <c r="F195" i="1"/>
  <c r="L194" i="1"/>
  <c r="I194" i="1"/>
  <c r="F194" i="1"/>
  <c r="L193" i="1"/>
  <c r="I193" i="1"/>
  <c r="F193" i="1"/>
  <c r="L192" i="1"/>
  <c r="I192" i="1"/>
  <c r="F192" i="1"/>
  <c r="L191" i="1"/>
  <c r="I191" i="1"/>
  <c r="F191" i="1"/>
  <c r="L190" i="1"/>
  <c r="I190" i="1"/>
  <c r="F190" i="1"/>
  <c r="L189" i="1"/>
  <c r="I189" i="1"/>
  <c r="F189" i="1"/>
  <c r="L188" i="1"/>
  <c r="I188" i="1"/>
  <c r="F188" i="1"/>
  <c r="L187" i="1"/>
  <c r="I187" i="1"/>
  <c r="F187" i="1"/>
  <c r="L186" i="1"/>
  <c r="I186" i="1"/>
  <c r="F186" i="1"/>
  <c r="L185" i="1"/>
  <c r="I185" i="1"/>
  <c r="F185" i="1"/>
  <c r="L184" i="1"/>
  <c r="I184" i="1"/>
  <c r="F184" i="1"/>
  <c r="L183" i="1"/>
  <c r="I183" i="1"/>
  <c r="F183" i="1"/>
  <c r="L182" i="1"/>
  <c r="I182" i="1"/>
  <c r="F182" i="1"/>
  <c r="L181" i="1"/>
  <c r="I181" i="1"/>
  <c r="F181" i="1"/>
  <c r="L180" i="1"/>
  <c r="I180" i="1"/>
  <c r="F180" i="1"/>
  <c r="L179" i="1"/>
  <c r="I179" i="1"/>
  <c r="F179" i="1"/>
  <c r="L178" i="1"/>
  <c r="I178" i="1"/>
  <c r="F178" i="1"/>
  <c r="L177" i="1"/>
  <c r="I177" i="1"/>
  <c r="F177" i="1"/>
  <c r="L176" i="1"/>
  <c r="I176" i="1"/>
  <c r="F176" i="1"/>
  <c r="L175" i="1"/>
  <c r="I175" i="1"/>
  <c r="F175" i="1"/>
  <c r="L174" i="1"/>
  <c r="I174" i="1"/>
  <c r="F174" i="1"/>
  <c r="L173" i="1"/>
  <c r="I173" i="1"/>
  <c r="F173" i="1"/>
  <c r="L172" i="1"/>
  <c r="I172" i="1"/>
  <c r="F172" i="1"/>
  <c r="L171" i="1"/>
  <c r="I171" i="1"/>
  <c r="F171" i="1"/>
  <c r="L170" i="1"/>
  <c r="I170" i="1"/>
  <c r="F170" i="1"/>
  <c r="L169" i="1"/>
  <c r="I169" i="1"/>
  <c r="F169" i="1"/>
  <c r="L168" i="1"/>
  <c r="I168" i="1"/>
  <c r="F168" i="1"/>
  <c r="L167" i="1"/>
  <c r="I167" i="1"/>
  <c r="F167" i="1"/>
  <c r="L166" i="1"/>
  <c r="I166" i="1"/>
  <c r="F166" i="1"/>
  <c r="L165" i="1"/>
  <c r="I165" i="1"/>
  <c r="F165" i="1"/>
  <c r="L164" i="1"/>
  <c r="I164" i="1"/>
  <c r="F164" i="1"/>
  <c r="L163" i="1"/>
  <c r="I163" i="1"/>
  <c r="F163" i="1"/>
  <c r="L162" i="1"/>
  <c r="I162" i="1"/>
  <c r="F162" i="1"/>
  <c r="L161" i="1"/>
  <c r="I161" i="1"/>
  <c r="F161" i="1"/>
  <c r="L160" i="1"/>
  <c r="I160" i="1"/>
  <c r="F160" i="1"/>
  <c r="L159" i="1"/>
  <c r="I159" i="1"/>
  <c r="F159" i="1"/>
  <c r="L158" i="1"/>
  <c r="I158" i="1"/>
  <c r="F158" i="1"/>
  <c r="L157" i="1"/>
  <c r="I157" i="1"/>
  <c r="F157" i="1"/>
  <c r="L156" i="1"/>
  <c r="I156" i="1"/>
  <c r="F156" i="1"/>
  <c r="L155" i="1"/>
  <c r="I155" i="1"/>
  <c r="F155" i="1"/>
  <c r="L154" i="1"/>
  <c r="I154" i="1"/>
  <c r="F154" i="1"/>
  <c r="L153" i="1"/>
  <c r="I153" i="1"/>
  <c r="F153" i="1"/>
  <c r="L152" i="1"/>
  <c r="I152" i="1"/>
  <c r="F152" i="1"/>
  <c r="L151" i="1"/>
  <c r="I151" i="1"/>
  <c r="F151" i="1"/>
  <c r="L150" i="1"/>
  <c r="I150" i="1"/>
  <c r="F150" i="1"/>
  <c r="L149" i="1"/>
  <c r="I149" i="1"/>
  <c r="F149" i="1"/>
  <c r="L148" i="1"/>
  <c r="I148" i="1"/>
  <c r="F148" i="1"/>
  <c r="L147" i="1"/>
  <c r="I147" i="1"/>
  <c r="F147" i="1"/>
  <c r="L146" i="1"/>
  <c r="I146" i="1"/>
  <c r="F146" i="1"/>
  <c r="L145" i="1"/>
  <c r="I145" i="1"/>
  <c r="F145" i="1"/>
  <c r="L144" i="1"/>
  <c r="I144" i="1"/>
  <c r="F144" i="1"/>
  <c r="L143" i="1"/>
  <c r="I143" i="1"/>
  <c r="F143" i="1"/>
  <c r="L142" i="1"/>
  <c r="I142" i="1"/>
  <c r="F142" i="1"/>
  <c r="L141" i="1"/>
  <c r="I141" i="1"/>
  <c r="F141" i="1"/>
  <c r="L140" i="1"/>
  <c r="I140" i="1"/>
  <c r="F140" i="1"/>
  <c r="L139" i="1"/>
  <c r="I139" i="1"/>
  <c r="F139" i="1"/>
  <c r="L138" i="1"/>
  <c r="I138" i="1"/>
  <c r="F138" i="1"/>
  <c r="L137" i="1"/>
  <c r="I137" i="1"/>
  <c r="F137" i="1"/>
  <c r="L136" i="1"/>
  <c r="I136" i="1"/>
  <c r="F136" i="1"/>
  <c r="L135" i="1"/>
  <c r="I135" i="1"/>
  <c r="F135" i="1"/>
  <c r="L134" i="1"/>
  <c r="I134" i="1"/>
  <c r="F134" i="1"/>
  <c r="L133" i="1"/>
  <c r="I133" i="1"/>
  <c r="F133" i="1"/>
  <c r="L132" i="1"/>
  <c r="I132" i="1"/>
  <c r="F132" i="1"/>
  <c r="L131" i="1"/>
  <c r="I131" i="1"/>
  <c r="F131" i="1"/>
  <c r="L130" i="1"/>
  <c r="I130" i="1"/>
  <c r="F130" i="1"/>
  <c r="L129" i="1"/>
  <c r="I129" i="1"/>
  <c r="F129" i="1"/>
  <c r="L128" i="1"/>
  <c r="I128" i="1"/>
  <c r="F128" i="1"/>
  <c r="L127" i="1"/>
  <c r="I127" i="1"/>
  <c r="F127" i="1"/>
  <c r="L126" i="1"/>
  <c r="I126" i="1"/>
  <c r="F126" i="1"/>
  <c r="L125" i="1"/>
  <c r="I125" i="1"/>
  <c r="F125" i="1"/>
  <c r="L124" i="1"/>
  <c r="I124" i="1"/>
  <c r="F124" i="1"/>
  <c r="L123" i="1"/>
  <c r="I123" i="1"/>
  <c r="F123" i="1"/>
  <c r="L122" i="1"/>
  <c r="I122" i="1"/>
  <c r="F122" i="1"/>
  <c r="L121" i="1"/>
  <c r="I121" i="1"/>
  <c r="F121" i="1"/>
  <c r="L120" i="1"/>
  <c r="I120" i="1"/>
  <c r="F120" i="1"/>
  <c r="L119" i="1"/>
  <c r="I119" i="1"/>
  <c r="F119" i="1"/>
  <c r="L118" i="1"/>
  <c r="I118" i="1"/>
  <c r="F118" i="1"/>
  <c r="L117" i="1"/>
  <c r="I117" i="1"/>
  <c r="F117" i="1"/>
  <c r="L116" i="1"/>
  <c r="I116" i="1"/>
  <c r="F116" i="1"/>
  <c r="L115" i="1"/>
  <c r="I115" i="1"/>
  <c r="F115" i="1"/>
  <c r="L114" i="1"/>
  <c r="I114" i="1"/>
  <c r="F114" i="1"/>
  <c r="L113" i="1"/>
  <c r="I113" i="1"/>
  <c r="F113" i="1"/>
  <c r="L112" i="1"/>
  <c r="I112" i="1"/>
  <c r="F112" i="1"/>
  <c r="L111" i="1"/>
  <c r="I111" i="1"/>
  <c r="F111" i="1"/>
  <c r="L110" i="1"/>
  <c r="I110" i="1"/>
  <c r="F110" i="1"/>
  <c r="L109" i="1"/>
  <c r="I109" i="1"/>
  <c r="F109" i="1"/>
  <c r="L108" i="1"/>
  <c r="I108" i="1"/>
  <c r="F108" i="1"/>
  <c r="L107" i="1"/>
  <c r="I107" i="1"/>
  <c r="F107" i="1"/>
  <c r="L106" i="1"/>
  <c r="I106" i="1"/>
  <c r="F106" i="1"/>
  <c r="L105" i="1"/>
  <c r="I105" i="1"/>
  <c r="F105" i="1"/>
  <c r="L104" i="1"/>
  <c r="I104" i="1"/>
  <c r="F104" i="1"/>
  <c r="L103" i="1"/>
  <c r="I103" i="1"/>
  <c r="F103" i="1"/>
  <c r="L102" i="1"/>
  <c r="I102" i="1"/>
  <c r="F102" i="1"/>
  <c r="L101" i="1"/>
  <c r="I101" i="1"/>
  <c r="F101" i="1"/>
  <c r="L100" i="1"/>
  <c r="I100" i="1"/>
  <c r="F100" i="1"/>
  <c r="L99" i="1"/>
  <c r="I99" i="1"/>
  <c r="F99" i="1"/>
  <c r="L98" i="1"/>
  <c r="I98" i="1"/>
  <c r="F98" i="1"/>
  <c r="L97" i="1"/>
  <c r="I97" i="1"/>
  <c r="F97" i="1"/>
  <c r="L96" i="1"/>
  <c r="I96" i="1"/>
  <c r="F96" i="1"/>
  <c r="L95" i="1"/>
  <c r="I95" i="1"/>
  <c r="F95" i="1"/>
  <c r="L94" i="1"/>
  <c r="I94" i="1"/>
  <c r="F94" i="1"/>
  <c r="L93" i="1"/>
  <c r="I93" i="1"/>
  <c r="F93" i="1"/>
  <c r="L92" i="1"/>
  <c r="I92" i="1"/>
  <c r="F92" i="1"/>
  <c r="L91" i="1"/>
  <c r="I91" i="1"/>
  <c r="F91" i="1"/>
  <c r="L90" i="1"/>
  <c r="I90" i="1"/>
  <c r="F90" i="1"/>
  <c r="L89" i="1"/>
  <c r="I89" i="1"/>
  <c r="F89" i="1"/>
  <c r="L88" i="1"/>
  <c r="I88" i="1"/>
  <c r="F88" i="1"/>
  <c r="L87" i="1"/>
  <c r="I87" i="1"/>
  <c r="F87" i="1"/>
  <c r="L86" i="1"/>
  <c r="I86" i="1"/>
  <c r="F86" i="1"/>
  <c r="L85" i="1"/>
  <c r="I85" i="1"/>
  <c r="F85" i="1"/>
  <c r="L84" i="1"/>
  <c r="I84" i="1"/>
  <c r="F84" i="1"/>
  <c r="L83" i="1"/>
  <c r="I83" i="1"/>
  <c r="F83" i="1"/>
  <c r="L82" i="1"/>
  <c r="I82" i="1"/>
  <c r="F82" i="1"/>
  <c r="L81" i="1"/>
  <c r="I81" i="1"/>
  <c r="F81" i="1"/>
  <c r="L80" i="1"/>
  <c r="I80" i="1"/>
  <c r="F80" i="1"/>
  <c r="L79" i="1"/>
  <c r="I79" i="1"/>
  <c r="F79" i="1"/>
  <c r="L78" i="1"/>
  <c r="I78" i="1"/>
  <c r="F78" i="1"/>
  <c r="L77" i="1"/>
  <c r="I77" i="1"/>
  <c r="F77" i="1"/>
  <c r="L76" i="1"/>
  <c r="I76" i="1"/>
  <c r="F76" i="1"/>
  <c r="L75" i="1"/>
  <c r="I75" i="1"/>
  <c r="F75" i="1"/>
  <c r="L74" i="1"/>
  <c r="I74" i="1"/>
  <c r="F74" i="1"/>
  <c r="L73" i="1"/>
  <c r="I73" i="1"/>
  <c r="F73" i="1"/>
  <c r="L72" i="1"/>
  <c r="I72" i="1"/>
  <c r="F72" i="1"/>
  <c r="L71" i="1"/>
  <c r="I71" i="1"/>
  <c r="F71" i="1"/>
  <c r="L70" i="1"/>
  <c r="I70" i="1"/>
  <c r="F70" i="1"/>
  <c r="L69" i="1"/>
  <c r="I69" i="1"/>
  <c r="F69" i="1"/>
  <c r="L68" i="1"/>
  <c r="I68" i="1"/>
  <c r="F68" i="1"/>
  <c r="L67" i="1"/>
  <c r="I67" i="1"/>
  <c r="F67" i="1"/>
  <c r="L66" i="1"/>
  <c r="I66" i="1"/>
  <c r="F66" i="1"/>
  <c r="L65" i="1"/>
  <c r="I65" i="1"/>
  <c r="F65" i="1"/>
  <c r="L64" i="1"/>
  <c r="I64" i="1"/>
  <c r="F64" i="1"/>
  <c r="L63" i="1"/>
  <c r="I63" i="1"/>
  <c r="F63" i="1"/>
  <c r="L62" i="1"/>
  <c r="I62" i="1"/>
  <c r="F62" i="1"/>
  <c r="L61" i="1"/>
  <c r="I61" i="1"/>
  <c r="F61" i="1"/>
  <c r="L60" i="1"/>
  <c r="I60" i="1"/>
  <c r="F60" i="1"/>
  <c r="L59" i="1"/>
  <c r="I59" i="1"/>
  <c r="F59" i="1"/>
  <c r="L58" i="1"/>
  <c r="I58" i="1"/>
  <c r="F58" i="1"/>
  <c r="L57" i="1"/>
  <c r="I57" i="1"/>
  <c r="F57" i="1"/>
  <c r="L56" i="1"/>
  <c r="I56" i="1"/>
  <c r="F56" i="1"/>
  <c r="L55" i="1"/>
  <c r="I55" i="1"/>
  <c r="F55" i="1"/>
  <c r="L54" i="1"/>
  <c r="I54" i="1"/>
  <c r="F54" i="1"/>
  <c r="L53" i="1"/>
  <c r="I53" i="1"/>
  <c r="F53" i="1"/>
  <c r="L52" i="1"/>
  <c r="I52" i="1"/>
  <c r="F52" i="1"/>
  <c r="L51" i="1"/>
  <c r="I51" i="1"/>
  <c r="F51" i="1"/>
  <c r="L50" i="1"/>
  <c r="I50" i="1"/>
  <c r="F50" i="1"/>
  <c r="L49" i="1"/>
  <c r="I49" i="1"/>
  <c r="F49" i="1"/>
  <c r="L48" i="1"/>
  <c r="I48" i="1"/>
  <c r="F48" i="1"/>
  <c r="L47" i="1"/>
  <c r="I47" i="1"/>
  <c r="F47" i="1"/>
  <c r="L46" i="1"/>
  <c r="I46" i="1"/>
  <c r="F46" i="1"/>
  <c r="L45" i="1"/>
  <c r="I45" i="1"/>
  <c r="F45" i="1"/>
  <c r="L44" i="1"/>
  <c r="I44" i="1"/>
  <c r="F44" i="1"/>
  <c r="L43" i="1"/>
  <c r="I43" i="1"/>
  <c r="F43" i="1"/>
  <c r="L42" i="1"/>
  <c r="I42" i="1"/>
  <c r="F42" i="1"/>
  <c r="L41" i="1"/>
  <c r="I41" i="1"/>
  <c r="F41" i="1"/>
  <c r="L40" i="1"/>
  <c r="I40" i="1"/>
  <c r="F40" i="1"/>
  <c r="L39" i="1"/>
  <c r="I39" i="1"/>
  <c r="F39" i="1"/>
  <c r="L38" i="1"/>
  <c r="I38" i="1"/>
  <c r="F38" i="1"/>
  <c r="L37" i="1"/>
  <c r="I37" i="1"/>
  <c r="F37" i="1"/>
  <c r="L36" i="1"/>
  <c r="I36" i="1"/>
  <c r="F36" i="1"/>
  <c r="L35" i="1"/>
  <c r="I35" i="1"/>
  <c r="F35" i="1"/>
  <c r="L34" i="1"/>
  <c r="I34" i="1"/>
  <c r="F34" i="1"/>
  <c r="L33" i="1"/>
  <c r="I33" i="1"/>
  <c r="F33" i="1"/>
  <c r="L32" i="1"/>
  <c r="I32" i="1"/>
  <c r="F32" i="1"/>
  <c r="L31" i="1"/>
  <c r="I31" i="1"/>
  <c r="F31" i="1"/>
  <c r="L30" i="1"/>
  <c r="I30" i="1"/>
  <c r="F30" i="1"/>
  <c r="L29" i="1"/>
  <c r="I29" i="1"/>
  <c r="F29" i="1"/>
  <c r="L28" i="1"/>
  <c r="I28" i="1"/>
  <c r="F28" i="1"/>
  <c r="L27" i="1"/>
  <c r="I27" i="1"/>
  <c r="F27" i="1"/>
  <c r="L26" i="1"/>
  <c r="I26" i="1"/>
  <c r="F26" i="1"/>
  <c r="L25" i="1"/>
  <c r="I25" i="1"/>
  <c r="F25" i="1"/>
  <c r="L24" i="1"/>
  <c r="I24" i="1"/>
  <c r="F24" i="1"/>
  <c r="L23" i="1"/>
  <c r="I23" i="1"/>
  <c r="F23" i="1"/>
  <c r="L22" i="1"/>
  <c r="I22" i="1"/>
  <c r="F22" i="1"/>
  <c r="L21" i="1"/>
  <c r="I21" i="1"/>
  <c r="F21" i="1"/>
  <c r="L20" i="1"/>
  <c r="I20" i="1"/>
  <c r="F20" i="1"/>
  <c r="L19" i="1"/>
  <c r="I19" i="1"/>
  <c r="F19" i="1"/>
  <c r="L18" i="1"/>
  <c r="I18" i="1"/>
  <c r="F18" i="1"/>
  <c r="L17" i="1"/>
  <c r="I17" i="1"/>
  <c r="F17" i="1"/>
  <c r="L16" i="1"/>
  <c r="I16" i="1"/>
  <c r="F16" i="1"/>
  <c r="L15" i="1"/>
  <c r="I15" i="1"/>
  <c r="F15" i="1"/>
  <c r="L14" i="1"/>
  <c r="I14" i="1"/>
  <c r="F14" i="1"/>
  <c r="L13" i="1"/>
  <c r="I13" i="1"/>
  <c r="F13" i="1"/>
  <c r="L12" i="1"/>
  <c r="I12" i="1"/>
  <c r="F12" i="1"/>
  <c r="L11" i="1"/>
  <c r="I11" i="1"/>
  <c r="F11" i="1"/>
  <c r="L10" i="1"/>
  <c r="I10" i="1"/>
  <c r="F10" i="1"/>
  <c r="L9" i="1"/>
  <c r="I9" i="1"/>
  <c r="F9" i="1"/>
  <c r="L8" i="1"/>
  <c r="I8" i="1"/>
  <c r="F8" i="1"/>
  <c r="L7" i="1"/>
  <c r="I7" i="1"/>
  <c r="F7" i="1"/>
  <c r="L6" i="1"/>
  <c r="I6" i="1"/>
  <c r="F6" i="1"/>
  <c r="L5" i="1"/>
  <c r="I5" i="1"/>
  <c r="F5" i="1"/>
  <c r="L4" i="1"/>
  <c r="I4" i="1"/>
  <c r="F4" i="1"/>
  <c r="L3" i="1"/>
  <c r="I3" i="1"/>
  <c r="F3" i="1"/>
  <c r="L2" i="1"/>
  <c r="I2" i="1"/>
  <c r="F2" i="1"/>
  <c r="R229" i="4"/>
  <c r="P12" i="6" s="1"/>
  <c r="Q229" i="4"/>
  <c r="O12" i="6" s="1"/>
  <c r="P229" i="4"/>
  <c r="N12" i="6" s="1"/>
  <c r="O229" i="4"/>
  <c r="M12" i="6" s="1"/>
  <c r="N229" i="4"/>
  <c r="L12" i="6" s="1"/>
  <c r="M229" i="4"/>
  <c r="K12" i="6" s="1"/>
  <c r="K229" i="4"/>
  <c r="I12" i="6" s="1"/>
  <c r="J229" i="4"/>
  <c r="H12" i="6" s="1"/>
  <c r="H229" i="4"/>
  <c r="F12" i="6" s="1"/>
  <c r="G229" i="4"/>
  <c r="E229" i="4"/>
  <c r="C12" i="6" s="1"/>
  <c r="D229" i="4"/>
  <c r="F229" i="4" s="1"/>
  <c r="D12" i="6" s="1"/>
  <c r="L213" i="4"/>
  <c r="I213" i="4"/>
  <c r="F213" i="4"/>
  <c r="L212" i="4"/>
  <c r="I212" i="4"/>
  <c r="F212" i="4"/>
  <c r="L211" i="4"/>
  <c r="I211" i="4"/>
  <c r="F211" i="4"/>
  <c r="L210" i="4"/>
  <c r="I210" i="4"/>
  <c r="F210" i="4"/>
  <c r="L209" i="4"/>
  <c r="I209" i="4"/>
  <c r="F209" i="4"/>
  <c r="L208" i="4"/>
  <c r="I208" i="4"/>
  <c r="F208" i="4"/>
  <c r="L207" i="4"/>
  <c r="I207" i="4"/>
  <c r="F207" i="4"/>
  <c r="L206" i="4"/>
  <c r="I206" i="4"/>
  <c r="F206" i="4"/>
  <c r="L205" i="4"/>
  <c r="I205" i="4"/>
  <c r="F205" i="4"/>
  <c r="L204" i="4"/>
  <c r="I204" i="4"/>
  <c r="F204" i="4"/>
  <c r="L203" i="4"/>
  <c r="I203" i="4"/>
  <c r="F203" i="4"/>
  <c r="L202" i="4"/>
  <c r="I202" i="4"/>
  <c r="F202" i="4"/>
  <c r="L201" i="4"/>
  <c r="I201" i="4"/>
  <c r="F201" i="4"/>
  <c r="L200" i="4"/>
  <c r="I200" i="4"/>
  <c r="F200" i="4"/>
  <c r="L199" i="4"/>
  <c r="I199" i="4"/>
  <c r="F199" i="4"/>
  <c r="L198" i="4"/>
  <c r="I198" i="4"/>
  <c r="F198" i="4"/>
  <c r="L197" i="4"/>
  <c r="I197" i="4"/>
  <c r="F197" i="4"/>
  <c r="L196" i="4"/>
  <c r="I196" i="4"/>
  <c r="F196" i="4"/>
  <c r="L195" i="4"/>
  <c r="I195" i="4"/>
  <c r="F195" i="4"/>
  <c r="L194" i="4"/>
  <c r="I194" i="4"/>
  <c r="F194" i="4"/>
  <c r="L193" i="4"/>
  <c r="I193" i="4"/>
  <c r="F193" i="4"/>
  <c r="L192" i="4"/>
  <c r="I192" i="4"/>
  <c r="F192" i="4"/>
  <c r="L191" i="4"/>
  <c r="I191" i="4"/>
  <c r="F191" i="4"/>
  <c r="L190" i="4"/>
  <c r="I190" i="4"/>
  <c r="F190" i="4"/>
  <c r="L189" i="4"/>
  <c r="I189" i="4"/>
  <c r="F189" i="4"/>
  <c r="L188" i="4"/>
  <c r="I188" i="4"/>
  <c r="F188" i="4"/>
  <c r="L187" i="4"/>
  <c r="I187" i="4"/>
  <c r="F187" i="4"/>
  <c r="L186" i="4"/>
  <c r="I186" i="4"/>
  <c r="F186" i="4"/>
  <c r="L185" i="4"/>
  <c r="I185" i="4"/>
  <c r="F185" i="4"/>
  <c r="L184" i="4"/>
  <c r="I184" i="4"/>
  <c r="F184" i="4"/>
  <c r="L183" i="4"/>
  <c r="I183" i="4"/>
  <c r="F183" i="4"/>
  <c r="L182" i="4"/>
  <c r="I182" i="4"/>
  <c r="F182" i="4"/>
  <c r="L181" i="4"/>
  <c r="I181" i="4"/>
  <c r="F181" i="4"/>
  <c r="L180" i="4"/>
  <c r="I180" i="4"/>
  <c r="F180" i="4"/>
  <c r="L179" i="4"/>
  <c r="I179" i="4"/>
  <c r="F179" i="4"/>
  <c r="L178" i="4"/>
  <c r="I178" i="4"/>
  <c r="F178" i="4"/>
  <c r="L177" i="4"/>
  <c r="I177" i="4"/>
  <c r="F177" i="4"/>
  <c r="L176" i="4"/>
  <c r="I176" i="4"/>
  <c r="F176" i="4"/>
  <c r="L175" i="4"/>
  <c r="I175" i="4"/>
  <c r="F175" i="4"/>
  <c r="L174" i="4"/>
  <c r="I174" i="4"/>
  <c r="F174" i="4"/>
  <c r="L173" i="4"/>
  <c r="I173" i="4"/>
  <c r="F173" i="4"/>
  <c r="L172" i="4"/>
  <c r="I172" i="4"/>
  <c r="F172" i="4"/>
  <c r="L171" i="4"/>
  <c r="I171" i="4"/>
  <c r="F171" i="4"/>
  <c r="L170" i="4"/>
  <c r="I170" i="4"/>
  <c r="F170" i="4"/>
  <c r="L169" i="4"/>
  <c r="I169" i="4"/>
  <c r="F169" i="4"/>
  <c r="L168" i="4"/>
  <c r="I168" i="4"/>
  <c r="F168" i="4"/>
  <c r="L167" i="4"/>
  <c r="I167" i="4"/>
  <c r="F167" i="4"/>
  <c r="L166" i="4"/>
  <c r="I166" i="4"/>
  <c r="F166" i="4"/>
  <c r="L165" i="4"/>
  <c r="I165" i="4"/>
  <c r="F165" i="4"/>
  <c r="L164" i="4"/>
  <c r="I164" i="4"/>
  <c r="F164" i="4"/>
  <c r="L163" i="4"/>
  <c r="I163" i="4"/>
  <c r="F163" i="4"/>
  <c r="L162" i="4"/>
  <c r="I162" i="4"/>
  <c r="F162" i="4"/>
  <c r="L161" i="4"/>
  <c r="I161" i="4"/>
  <c r="F161" i="4"/>
  <c r="L160" i="4"/>
  <c r="I160" i="4"/>
  <c r="F160" i="4"/>
  <c r="L159" i="4"/>
  <c r="I159" i="4"/>
  <c r="F159" i="4"/>
  <c r="L158" i="4"/>
  <c r="I158" i="4"/>
  <c r="F158" i="4"/>
  <c r="L157" i="4"/>
  <c r="I157" i="4"/>
  <c r="F157" i="4"/>
  <c r="L156" i="4"/>
  <c r="I156" i="4"/>
  <c r="F156" i="4"/>
  <c r="L155" i="4"/>
  <c r="I155" i="4"/>
  <c r="F155" i="4"/>
  <c r="L154" i="4"/>
  <c r="I154" i="4"/>
  <c r="F154" i="4"/>
  <c r="L153" i="4"/>
  <c r="I153" i="4"/>
  <c r="F153" i="4"/>
  <c r="L152" i="4"/>
  <c r="I152" i="4"/>
  <c r="F152" i="4"/>
  <c r="L151" i="4"/>
  <c r="I151" i="4"/>
  <c r="F151" i="4"/>
  <c r="L150" i="4"/>
  <c r="I150" i="4"/>
  <c r="F150" i="4"/>
  <c r="L149" i="4"/>
  <c r="I149" i="4"/>
  <c r="F149" i="4"/>
  <c r="L148" i="4"/>
  <c r="I148" i="4"/>
  <c r="F148" i="4"/>
  <c r="L147" i="4"/>
  <c r="I147" i="4"/>
  <c r="F147" i="4"/>
  <c r="L146" i="4"/>
  <c r="I146" i="4"/>
  <c r="F146" i="4"/>
  <c r="L145" i="4"/>
  <c r="I145" i="4"/>
  <c r="F145" i="4"/>
  <c r="L144" i="4"/>
  <c r="I144" i="4"/>
  <c r="F144" i="4"/>
  <c r="L143" i="4"/>
  <c r="I143" i="4"/>
  <c r="F143" i="4"/>
  <c r="L142" i="4"/>
  <c r="I142" i="4"/>
  <c r="F142" i="4"/>
  <c r="L141" i="4"/>
  <c r="I141" i="4"/>
  <c r="F141" i="4"/>
  <c r="L140" i="4"/>
  <c r="I140" i="4"/>
  <c r="F140" i="4"/>
  <c r="L139" i="4"/>
  <c r="I139" i="4"/>
  <c r="F139" i="4"/>
  <c r="L138" i="4"/>
  <c r="I138" i="4"/>
  <c r="F138" i="4"/>
  <c r="L137" i="4"/>
  <c r="I137" i="4"/>
  <c r="F137" i="4"/>
  <c r="L136" i="4"/>
  <c r="I136" i="4"/>
  <c r="F136" i="4"/>
  <c r="L135" i="4"/>
  <c r="I135" i="4"/>
  <c r="F135" i="4"/>
  <c r="L134" i="4"/>
  <c r="I134" i="4"/>
  <c r="F134" i="4"/>
  <c r="L133" i="4"/>
  <c r="I133" i="4"/>
  <c r="F133" i="4"/>
  <c r="L132" i="4"/>
  <c r="I132" i="4"/>
  <c r="F132" i="4"/>
  <c r="L131" i="4"/>
  <c r="I131" i="4"/>
  <c r="F131" i="4"/>
  <c r="L130" i="4"/>
  <c r="I130" i="4"/>
  <c r="F130" i="4"/>
  <c r="L129" i="4"/>
  <c r="I129" i="4"/>
  <c r="F129" i="4"/>
  <c r="L128" i="4"/>
  <c r="I128" i="4"/>
  <c r="F128" i="4"/>
  <c r="L127" i="4"/>
  <c r="I127" i="4"/>
  <c r="F127" i="4"/>
  <c r="L126" i="4"/>
  <c r="I126" i="4"/>
  <c r="F126" i="4"/>
  <c r="L125" i="4"/>
  <c r="I125" i="4"/>
  <c r="F125" i="4"/>
  <c r="L124" i="4"/>
  <c r="I124" i="4"/>
  <c r="F124" i="4"/>
  <c r="L123" i="4"/>
  <c r="I123" i="4"/>
  <c r="F123" i="4"/>
  <c r="L122" i="4"/>
  <c r="I122" i="4"/>
  <c r="F122" i="4"/>
  <c r="L121" i="4"/>
  <c r="I121" i="4"/>
  <c r="F121" i="4"/>
  <c r="L120" i="4"/>
  <c r="I120" i="4"/>
  <c r="F120" i="4"/>
  <c r="L119" i="4"/>
  <c r="I119" i="4"/>
  <c r="F119" i="4"/>
  <c r="L118" i="4"/>
  <c r="I118" i="4"/>
  <c r="F118" i="4"/>
  <c r="L117" i="4"/>
  <c r="I117" i="4"/>
  <c r="F117" i="4"/>
  <c r="L116" i="4"/>
  <c r="I116" i="4"/>
  <c r="F116" i="4"/>
  <c r="L115" i="4"/>
  <c r="I115" i="4"/>
  <c r="F115" i="4"/>
  <c r="L114" i="4"/>
  <c r="I114" i="4"/>
  <c r="F114" i="4"/>
  <c r="L113" i="4"/>
  <c r="I113" i="4"/>
  <c r="F113" i="4"/>
  <c r="L112" i="4"/>
  <c r="I112" i="4"/>
  <c r="F112" i="4"/>
  <c r="L111" i="4"/>
  <c r="I111" i="4"/>
  <c r="F111" i="4"/>
  <c r="L110" i="4"/>
  <c r="I110" i="4"/>
  <c r="F110" i="4"/>
  <c r="L109" i="4"/>
  <c r="I109" i="4"/>
  <c r="F109" i="4"/>
  <c r="L108" i="4"/>
  <c r="I108" i="4"/>
  <c r="F108" i="4"/>
  <c r="L107" i="4"/>
  <c r="I107" i="4"/>
  <c r="F107" i="4"/>
  <c r="L106" i="4"/>
  <c r="I106" i="4"/>
  <c r="F106" i="4"/>
  <c r="L105" i="4"/>
  <c r="I105" i="4"/>
  <c r="F105" i="4"/>
  <c r="L104" i="4"/>
  <c r="I104" i="4"/>
  <c r="F104" i="4"/>
  <c r="L103" i="4"/>
  <c r="I103" i="4"/>
  <c r="F103" i="4"/>
  <c r="L102" i="4"/>
  <c r="I102" i="4"/>
  <c r="F102" i="4"/>
  <c r="L101" i="4"/>
  <c r="I101" i="4"/>
  <c r="F101" i="4"/>
  <c r="L100" i="4"/>
  <c r="I100" i="4"/>
  <c r="F100" i="4"/>
  <c r="L99" i="4"/>
  <c r="I99" i="4"/>
  <c r="F99" i="4"/>
  <c r="L98" i="4"/>
  <c r="I98" i="4"/>
  <c r="F98" i="4"/>
  <c r="L97" i="4"/>
  <c r="I97" i="4"/>
  <c r="F97" i="4"/>
  <c r="L96" i="4"/>
  <c r="I96" i="4"/>
  <c r="F96" i="4"/>
  <c r="L95" i="4"/>
  <c r="I95" i="4"/>
  <c r="F95" i="4"/>
  <c r="L94" i="4"/>
  <c r="I94" i="4"/>
  <c r="F94" i="4"/>
  <c r="L93" i="4"/>
  <c r="I93" i="4"/>
  <c r="F93" i="4"/>
  <c r="L92" i="4"/>
  <c r="I92" i="4"/>
  <c r="F92" i="4"/>
  <c r="L91" i="4"/>
  <c r="I91" i="4"/>
  <c r="F91" i="4"/>
  <c r="L90" i="4"/>
  <c r="I90" i="4"/>
  <c r="F90" i="4"/>
  <c r="L89" i="4"/>
  <c r="I89" i="4"/>
  <c r="F89" i="4"/>
  <c r="L88" i="4"/>
  <c r="I88" i="4"/>
  <c r="F88" i="4"/>
  <c r="L87" i="4"/>
  <c r="I87" i="4"/>
  <c r="F87" i="4"/>
  <c r="L86" i="4"/>
  <c r="I86" i="4"/>
  <c r="F86" i="4"/>
  <c r="L85" i="4"/>
  <c r="I85" i="4"/>
  <c r="F85" i="4"/>
  <c r="L84" i="4"/>
  <c r="I84" i="4"/>
  <c r="F84" i="4"/>
  <c r="L83" i="4"/>
  <c r="I83" i="4"/>
  <c r="F83" i="4"/>
  <c r="L82" i="4"/>
  <c r="I82" i="4"/>
  <c r="F82" i="4"/>
  <c r="L81" i="4"/>
  <c r="I81" i="4"/>
  <c r="F81" i="4"/>
  <c r="L80" i="4"/>
  <c r="I80" i="4"/>
  <c r="F80" i="4"/>
  <c r="L79" i="4"/>
  <c r="I79" i="4"/>
  <c r="F79" i="4"/>
  <c r="L78" i="4"/>
  <c r="I78" i="4"/>
  <c r="F78" i="4"/>
  <c r="L77" i="4"/>
  <c r="I77" i="4"/>
  <c r="F77" i="4"/>
  <c r="L76" i="4"/>
  <c r="I76" i="4"/>
  <c r="F76" i="4"/>
  <c r="L75" i="4"/>
  <c r="I75" i="4"/>
  <c r="F75" i="4"/>
  <c r="L74" i="4"/>
  <c r="I74" i="4"/>
  <c r="F74" i="4"/>
  <c r="L73" i="4"/>
  <c r="I73" i="4"/>
  <c r="F73" i="4"/>
  <c r="L72" i="4"/>
  <c r="I72" i="4"/>
  <c r="F72" i="4"/>
  <c r="L71" i="4"/>
  <c r="I71" i="4"/>
  <c r="F71" i="4"/>
  <c r="L70" i="4"/>
  <c r="I70" i="4"/>
  <c r="F70" i="4"/>
  <c r="L69" i="4"/>
  <c r="I69" i="4"/>
  <c r="F69" i="4"/>
  <c r="L68" i="4"/>
  <c r="I68" i="4"/>
  <c r="F68" i="4"/>
  <c r="L67" i="4"/>
  <c r="I67" i="4"/>
  <c r="F67" i="4"/>
  <c r="L66" i="4"/>
  <c r="I66" i="4"/>
  <c r="F66" i="4"/>
  <c r="L65" i="4"/>
  <c r="I65" i="4"/>
  <c r="F65" i="4"/>
  <c r="L64" i="4"/>
  <c r="I64" i="4"/>
  <c r="F64" i="4"/>
  <c r="L63" i="4"/>
  <c r="I63" i="4"/>
  <c r="F63" i="4"/>
  <c r="L62" i="4"/>
  <c r="I62" i="4"/>
  <c r="F62" i="4"/>
  <c r="L61" i="4"/>
  <c r="I61" i="4"/>
  <c r="F61" i="4"/>
  <c r="L60" i="4"/>
  <c r="I60" i="4"/>
  <c r="F60" i="4"/>
  <c r="L59" i="4"/>
  <c r="I59" i="4"/>
  <c r="F59" i="4"/>
  <c r="L58" i="4"/>
  <c r="I58" i="4"/>
  <c r="F58" i="4"/>
  <c r="L57" i="4"/>
  <c r="I57" i="4"/>
  <c r="F57" i="4"/>
  <c r="L56" i="4"/>
  <c r="I56" i="4"/>
  <c r="F56" i="4"/>
  <c r="L55" i="4"/>
  <c r="I55" i="4"/>
  <c r="F55" i="4"/>
  <c r="L54" i="4"/>
  <c r="I54" i="4"/>
  <c r="F54" i="4"/>
  <c r="L53" i="4"/>
  <c r="I53" i="4"/>
  <c r="F53" i="4"/>
  <c r="L52" i="4"/>
  <c r="I52" i="4"/>
  <c r="F52" i="4"/>
  <c r="L51" i="4"/>
  <c r="I51" i="4"/>
  <c r="F51" i="4"/>
  <c r="L50" i="4"/>
  <c r="I50" i="4"/>
  <c r="F50" i="4"/>
  <c r="L49" i="4"/>
  <c r="I49" i="4"/>
  <c r="F49" i="4"/>
  <c r="L48" i="4"/>
  <c r="I48" i="4"/>
  <c r="F48" i="4"/>
  <c r="L47" i="4"/>
  <c r="I47" i="4"/>
  <c r="F47" i="4"/>
  <c r="L46" i="4"/>
  <c r="I46" i="4"/>
  <c r="F46" i="4"/>
  <c r="L45" i="4"/>
  <c r="I45" i="4"/>
  <c r="F45" i="4"/>
  <c r="L44" i="4"/>
  <c r="I44" i="4"/>
  <c r="F44" i="4"/>
  <c r="L43" i="4"/>
  <c r="I43" i="4"/>
  <c r="F43" i="4"/>
  <c r="L42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L7" i="4"/>
  <c r="I7" i="4"/>
  <c r="F7" i="4"/>
  <c r="L6" i="4"/>
  <c r="I6" i="4"/>
  <c r="F6" i="4"/>
  <c r="L5" i="4"/>
  <c r="I5" i="4"/>
  <c r="F5" i="4"/>
  <c r="L4" i="4"/>
  <c r="I4" i="4"/>
  <c r="F4" i="4"/>
  <c r="L3" i="4"/>
  <c r="I3" i="4"/>
  <c r="F3" i="4"/>
  <c r="L2" i="4"/>
  <c r="I2" i="4"/>
  <c r="F2" i="4"/>
  <c r="R232" i="3"/>
  <c r="P10" i="6" s="1"/>
  <c r="Q232" i="3"/>
  <c r="O10" i="6" s="1"/>
  <c r="P232" i="3"/>
  <c r="N10" i="6" s="1"/>
  <c r="O232" i="3"/>
  <c r="M10" i="6" s="1"/>
  <c r="N232" i="3"/>
  <c r="L10" i="6" s="1"/>
  <c r="M232" i="3"/>
  <c r="K10" i="6" s="1"/>
  <c r="K232" i="3"/>
  <c r="I10" i="6" s="1"/>
  <c r="J232" i="3"/>
  <c r="J10" i="6" s="1"/>
  <c r="H232" i="3"/>
  <c r="F10" i="6" s="1"/>
  <c r="G232" i="3"/>
  <c r="E10" i="6" s="1"/>
  <c r="E232" i="3"/>
  <c r="F232" i="3" s="1"/>
  <c r="D10" i="6" s="1"/>
  <c r="D232" i="3"/>
  <c r="B10" i="6" s="1"/>
  <c r="L216" i="3"/>
  <c r="I216" i="3"/>
  <c r="F216" i="3"/>
  <c r="L215" i="3"/>
  <c r="I215" i="3"/>
  <c r="F215" i="3"/>
  <c r="L214" i="3"/>
  <c r="I214" i="3"/>
  <c r="F214" i="3"/>
  <c r="L213" i="3"/>
  <c r="I213" i="3"/>
  <c r="F213" i="3"/>
  <c r="L212" i="3"/>
  <c r="I212" i="3"/>
  <c r="F212" i="3"/>
  <c r="L211" i="3"/>
  <c r="I211" i="3"/>
  <c r="F211" i="3"/>
  <c r="L210" i="3"/>
  <c r="I210" i="3"/>
  <c r="F210" i="3"/>
  <c r="L209" i="3"/>
  <c r="I209" i="3"/>
  <c r="F209" i="3"/>
  <c r="L208" i="3"/>
  <c r="I208" i="3"/>
  <c r="F208" i="3"/>
  <c r="L207" i="3"/>
  <c r="I207" i="3"/>
  <c r="F207" i="3"/>
  <c r="L206" i="3"/>
  <c r="I206" i="3"/>
  <c r="F206" i="3"/>
  <c r="L205" i="3"/>
  <c r="I205" i="3"/>
  <c r="F205" i="3"/>
  <c r="L204" i="3"/>
  <c r="I204" i="3"/>
  <c r="F204" i="3"/>
  <c r="L203" i="3"/>
  <c r="I203" i="3"/>
  <c r="F203" i="3"/>
  <c r="L202" i="3"/>
  <c r="I202" i="3"/>
  <c r="F202" i="3"/>
  <c r="L201" i="3"/>
  <c r="I201" i="3"/>
  <c r="F201" i="3"/>
  <c r="L200" i="3"/>
  <c r="I200" i="3"/>
  <c r="F200" i="3"/>
  <c r="L199" i="3"/>
  <c r="I199" i="3"/>
  <c r="F199" i="3"/>
  <c r="L198" i="3"/>
  <c r="I198" i="3"/>
  <c r="F198" i="3"/>
  <c r="L197" i="3"/>
  <c r="I197" i="3"/>
  <c r="F197" i="3"/>
  <c r="L196" i="3"/>
  <c r="I196" i="3"/>
  <c r="F196" i="3"/>
  <c r="L195" i="3"/>
  <c r="I195" i="3"/>
  <c r="F195" i="3"/>
  <c r="L194" i="3"/>
  <c r="I194" i="3"/>
  <c r="F194" i="3"/>
  <c r="L193" i="3"/>
  <c r="I193" i="3"/>
  <c r="F193" i="3"/>
  <c r="L192" i="3"/>
  <c r="I192" i="3"/>
  <c r="F192" i="3"/>
  <c r="L191" i="3"/>
  <c r="I191" i="3"/>
  <c r="F191" i="3"/>
  <c r="L190" i="3"/>
  <c r="I190" i="3"/>
  <c r="F190" i="3"/>
  <c r="L189" i="3"/>
  <c r="I189" i="3"/>
  <c r="F189" i="3"/>
  <c r="L188" i="3"/>
  <c r="I188" i="3"/>
  <c r="F188" i="3"/>
  <c r="L187" i="3"/>
  <c r="I187" i="3"/>
  <c r="F187" i="3"/>
  <c r="L186" i="3"/>
  <c r="I186" i="3"/>
  <c r="F186" i="3"/>
  <c r="L185" i="3"/>
  <c r="I185" i="3"/>
  <c r="F185" i="3"/>
  <c r="L184" i="3"/>
  <c r="I184" i="3"/>
  <c r="F184" i="3"/>
  <c r="L183" i="3"/>
  <c r="I183" i="3"/>
  <c r="F183" i="3"/>
  <c r="L182" i="3"/>
  <c r="I182" i="3"/>
  <c r="F182" i="3"/>
  <c r="L181" i="3"/>
  <c r="I181" i="3"/>
  <c r="F181" i="3"/>
  <c r="L180" i="3"/>
  <c r="I180" i="3"/>
  <c r="F180" i="3"/>
  <c r="L179" i="3"/>
  <c r="I179" i="3"/>
  <c r="F179" i="3"/>
  <c r="L178" i="3"/>
  <c r="I178" i="3"/>
  <c r="F178" i="3"/>
  <c r="L177" i="3"/>
  <c r="I177" i="3"/>
  <c r="F177" i="3"/>
  <c r="L176" i="3"/>
  <c r="I176" i="3"/>
  <c r="F176" i="3"/>
  <c r="L175" i="3"/>
  <c r="I175" i="3"/>
  <c r="F175" i="3"/>
  <c r="L174" i="3"/>
  <c r="I174" i="3"/>
  <c r="F174" i="3"/>
  <c r="L173" i="3"/>
  <c r="I173" i="3"/>
  <c r="F173" i="3"/>
  <c r="L172" i="3"/>
  <c r="I172" i="3"/>
  <c r="F172" i="3"/>
  <c r="L171" i="3"/>
  <c r="I171" i="3"/>
  <c r="F171" i="3"/>
  <c r="L170" i="3"/>
  <c r="I170" i="3"/>
  <c r="F170" i="3"/>
  <c r="L169" i="3"/>
  <c r="I169" i="3"/>
  <c r="F169" i="3"/>
  <c r="L168" i="3"/>
  <c r="I168" i="3"/>
  <c r="F168" i="3"/>
  <c r="L167" i="3"/>
  <c r="I167" i="3"/>
  <c r="F167" i="3"/>
  <c r="L166" i="3"/>
  <c r="I166" i="3"/>
  <c r="F166" i="3"/>
  <c r="L165" i="3"/>
  <c r="I165" i="3"/>
  <c r="F165" i="3"/>
  <c r="L164" i="3"/>
  <c r="I164" i="3"/>
  <c r="F164" i="3"/>
  <c r="L163" i="3"/>
  <c r="I163" i="3"/>
  <c r="F163" i="3"/>
  <c r="L162" i="3"/>
  <c r="I162" i="3"/>
  <c r="F162" i="3"/>
  <c r="L161" i="3"/>
  <c r="I161" i="3"/>
  <c r="F161" i="3"/>
  <c r="L160" i="3"/>
  <c r="I160" i="3"/>
  <c r="F160" i="3"/>
  <c r="L159" i="3"/>
  <c r="I159" i="3"/>
  <c r="F159" i="3"/>
  <c r="L158" i="3"/>
  <c r="I158" i="3"/>
  <c r="F158" i="3"/>
  <c r="L157" i="3"/>
  <c r="I157" i="3"/>
  <c r="F157" i="3"/>
  <c r="L156" i="3"/>
  <c r="I156" i="3"/>
  <c r="F156" i="3"/>
  <c r="L155" i="3"/>
  <c r="I155" i="3"/>
  <c r="F155" i="3"/>
  <c r="L154" i="3"/>
  <c r="I154" i="3"/>
  <c r="F154" i="3"/>
  <c r="L153" i="3"/>
  <c r="I153" i="3"/>
  <c r="F153" i="3"/>
  <c r="L152" i="3"/>
  <c r="I152" i="3"/>
  <c r="F152" i="3"/>
  <c r="L151" i="3"/>
  <c r="I151" i="3"/>
  <c r="F151" i="3"/>
  <c r="L150" i="3"/>
  <c r="I150" i="3"/>
  <c r="F150" i="3"/>
  <c r="L149" i="3"/>
  <c r="I149" i="3"/>
  <c r="F149" i="3"/>
  <c r="L148" i="3"/>
  <c r="I148" i="3"/>
  <c r="F148" i="3"/>
  <c r="L147" i="3"/>
  <c r="I147" i="3"/>
  <c r="F147" i="3"/>
  <c r="L146" i="3"/>
  <c r="I146" i="3"/>
  <c r="F146" i="3"/>
  <c r="L145" i="3"/>
  <c r="I145" i="3"/>
  <c r="F145" i="3"/>
  <c r="L144" i="3"/>
  <c r="I144" i="3"/>
  <c r="F144" i="3"/>
  <c r="L143" i="3"/>
  <c r="I143" i="3"/>
  <c r="F143" i="3"/>
  <c r="L142" i="3"/>
  <c r="I142" i="3"/>
  <c r="F142" i="3"/>
  <c r="L141" i="3"/>
  <c r="I141" i="3"/>
  <c r="F141" i="3"/>
  <c r="L140" i="3"/>
  <c r="I140" i="3"/>
  <c r="F140" i="3"/>
  <c r="L139" i="3"/>
  <c r="I139" i="3"/>
  <c r="F139" i="3"/>
  <c r="L138" i="3"/>
  <c r="I138" i="3"/>
  <c r="F138" i="3"/>
  <c r="L137" i="3"/>
  <c r="I137" i="3"/>
  <c r="F137" i="3"/>
  <c r="L136" i="3"/>
  <c r="I136" i="3"/>
  <c r="F136" i="3"/>
  <c r="L135" i="3"/>
  <c r="I135" i="3"/>
  <c r="F135" i="3"/>
  <c r="L134" i="3"/>
  <c r="I134" i="3"/>
  <c r="F134" i="3"/>
  <c r="L133" i="3"/>
  <c r="I133" i="3"/>
  <c r="F133" i="3"/>
  <c r="L132" i="3"/>
  <c r="I132" i="3"/>
  <c r="F132" i="3"/>
  <c r="L131" i="3"/>
  <c r="I131" i="3"/>
  <c r="F131" i="3"/>
  <c r="L130" i="3"/>
  <c r="I130" i="3"/>
  <c r="F130" i="3"/>
  <c r="L129" i="3"/>
  <c r="I129" i="3"/>
  <c r="F129" i="3"/>
  <c r="L128" i="3"/>
  <c r="I128" i="3"/>
  <c r="F128" i="3"/>
  <c r="L127" i="3"/>
  <c r="I127" i="3"/>
  <c r="F127" i="3"/>
  <c r="L126" i="3"/>
  <c r="I126" i="3"/>
  <c r="F126" i="3"/>
  <c r="L125" i="3"/>
  <c r="I125" i="3"/>
  <c r="F125" i="3"/>
  <c r="L124" i="3"/>
  <c r="I124" i="3"/>
  <c r="F124" i="3"/>
  <c r="L123" i="3"/>
  <c r="I123" i="3"/>
  <c r="F123" i="3"/>
  <c r="L122" i="3"/>
  <c r="I122" i="3"/>
  <c r="F122" i="3"/>
  <c r="L121" i="3"/>
  <c r="I121" i="3"/>
  <c r="F121" i="3"/>
  <c r="L120" i="3"/>
  <c r="I120" i="3"/>
  <c r="F120" i="3"/>
  <c r="L119" i="3"/>
  <c r="I119" i="3"/>
  <c r="F119" i="3"/>
  <c r="L118" i="3"/>
  <c r="I118" i="3"/>
  <c r="F118" i="3"/>
  <c r="L117" i="3"/>
  <c r="I117" i="3"/>
  <c r="F117" i="3"/>
  <c r="L116" i="3"/>
  <c r="I116" i="3"/>
  <c r="F116" i="3"/>
  <c r="L115" i="3"/>
  <c r="I115" i="3"/>
  <c r="F115" i="3"/>
  <c r="L114" i="3"/>
  <c r="I114" i="3"/>
  <c r="F114" i="3"/>
  <c r="L113" i="3"/>
  <c r="I113" i="3"/>
  <c r="F113" i="3"/>
  <c r="L112" i="3"/>
  <c r="I112" i="3"/>
  <c r="F112" i="3"/>
  <c r="L111" i="3"/>
  <c r="I111" i="3"/>
  <c r="F111" i="3"/>
  <c r="L110" i="3"/>
  <c r="I110" i="3"/>
  <c r="F110" i="3"/>
  <c r="L109" i="3"/>
  <c r="I109" i="3"/>
  <c r="F109" i="3"/>
  <c r="L108" i="3"/>
  <c r="I108" i="3"/>
  <c r="F108" i="3"/>
  <c r="L107" i="3"/>
  <c r="I107" i="3"/>
  <c r="F107" i="3"/>
  <c r="L106" i="3"/>
  <c r="I106" i="3"/>
  <c r="F106" i="3"/>
  <c r="L105" i="3"/>
  <c r="I105" i="3"/>
  <c r="F105" i="3"/>
  <c r="L104" i="3"/>
  <c r="I104" i="3"/>
  <c r="F104" i="3"/>
  <c r="L103" i="3"/>
  <c r="I103" i="3"/>
  <c r="F103" i="3"/>
  <c r="L102" i="3"/>
  <c r="I102" i="3"/>
  <c r="F102" i="3"/>
  <c r="L101" i="3"/>
  <c r="I101" i="3"/>
  <c r="F101" i="3"/>
  <c r="L100" i="3"/>
  <c r="I100" i="3"/>
  <c r="F100" i="3"/>
  <c r="L99" i="3"/>
  <c r="I99" i="3"/>
  <c r="F99" i="3"/>
  <c r="L98" i="3"/>
  <c r="I98" i="3"/>
  <c r="F98" i="3"/>
  <c r="L97" i="3"/>
  <c r="I97" i="3"/>
  <c r="F97" i="3"/>
  <c r="L96" i="3"/>
  <c r="I96" i="3"/>
  <c r="F96" i="3"/>
  <c r="L95" i="3"/>
  <c r="I95" i="3"/>
  <c r="F95" i="3"/>
  <c r="L94" i="3"/>
  <c r="I94" i="3"/>
  <c r="F94" i="3"/>
  <c r="L93" i="3"/>
  <c r="I93" i="3"/>
  <c r="F93" i="3"/>
  <c r="L92" i="3"/>
  <c r="I92" i="3"/>
  <c r="F92" i="3"/>
  <c r="L91" i="3"/>
  <c r="I91" i="3"/>
  <c r="F91" i="3"/>
  <c r="L90" i="3"/>
  <c r="I90" i="3"/>
  <c r="F90" i="3"/>
  <c r="L89" i="3"/>
  <c r="I89" i="3"/>
  <c r="F89" i="3"/>
  <c r="L88" i="3"/>
  <c r="I88" i="3"/>
  <c r="F88" i="3"/>
  <c r="L87" i="3"/>
  <c r="I87" i="3"/>
  <c r="F87" i="3"/>
  <c r="L86" i="3"/>
  <c r="I86" i="3"/>
  <c r="F86" i="3"/>
  <c r="L85" i="3"/>
  <c r="I85" i="3"/>
  <c r="F85" i="3"/>
  <c r="L84" i="3"/>
  <c r="I84" i="3"/>
  <c r="F84" i="3"/>
  <c r="L83" i="3"/>
  <c r="I83" i="3"/>
  <c r="F83" i="3"/>
  <c r="L82" i="3"/>
  <c r="I82" i="3"/>
  <c r="F82" i="3"/>
  <c r="L81" i="3"/>
  <c r="I81" i="3"/>
  <c r="F81" i="3"/>
  <c r="L80" i="3"/>
  <c r="I80" i="3"/>
  <c r="F80" i="3"/>
  <c r="L79" i="3"/>
  <c r="I79" i="3"/>
  <c r="F79" i="3"/>
  <c r="L78" i="3"/>
  <c r="I78" i="3"/>
  <c r="F78" i="3"/>
  <c r="L77" i="3"/>
  <c r="I77" i="3"/>
  <c r="F77" i="3"/>
  <c r="L76" i="3"/>
  <c r="I76" i="3"/>
  <c r="F76" i="3"/>
  <c r="L75" i="3"/>
  <c r="I75" i="3"/>
  <c r="F75" i="3"/>
  <c r="L74" i="3"/>
  <c r="I74" i="3"/>
  <c r="F74" i="3"/>
  <c r="L73" i="3"/>
  <c r="I73" i="3"/>
  <c r="F73" i="3"/>
  <c r="L72" i="3"/>
  <c r="I72" i="3"/>
  <c r="F72" i="3"/>
  <c r="L71" i="3"/>
  <c r="I71" i="3"/>
  <c r="F71" i="3"/>
  <c r="L70" i="3"/>
  <c r="I70" i="3"/>
  <c r="F70" i="3"/>
  <c r="L69" i="3"/>
  <c r="I69" i="3"/>
  <c r="F69" i="3"/>
  <c r="L68" i="3"/>
  <c r="I68" i="3"/>
  <c r="F68" i="3"/>
  <c r="L67" i="3"/>
  <c r="I67" i="3"/>
  <c r="F67" i="3"/>
  <c r="L66" i="3"/>
  <c r="I66" i="3"/>
  <c r="F66" i="3"/>
  <c r="L65" i="3"/>
  <c r="I65" i="3"/>
  <c r="F65" i="3"/>
  <c r="L64" i="3"/>
  <c r="I64" i="3"/>
  <c r="F64" i="3"/>
  <c r="L63" i="3"/>
  <c r="I63" i="3"/>
  <c r="F63" i="3"/>
  <c r="L62" i="3"/>
  <c r="I62" i="3"/>
  <c r="F62" i="3"/>
  <c r="L61" i="3"/>
  <c r="I61" i="3"/>
  <c r="F61" i="3"/>
  <c r="L60" i="3"/>
  <c r="I60" i="3"/>
  <c r="F60" i="3"/>
  <c r="L59" i="3"/>
  <c r="I59" i="3"/>
  <c r="F59" i="3"/>
  <c r="L58" i="3"/>
  <c r="I58" i="3"/>
  <c r="F58" i="3"/>
  <c r="L57" i="3"/>
  <c r="I57" i="3"/>
  <c r="F57" i="3"/>
  <c r="L56" i="3"/>
  <c r="I56" i="3"/>
  <c r="F56" i="3"/>
  <c r="L55" i="3"/>
  <c r="I55" i="3"/>
  <c r="F55" i="3"/>
  <c r="L54" i="3"/>
  <c r="I54" i="3"/>
  <c r="F54" i="3"/>
  <c r="L53" i="3"/>
  <c r="I53" i="3"/>
  <c r="F53" i="3"/>
  <c r="L52" i="3"/>
  <c r="I52" i="3"/>
  <c r="F52" i="3"/>
  <c r="L51" i="3"/>
  <c r="I51" i="3"/>
  <c r="F51" i="3"/>
  <c r="L50" i="3"/>
  <c r="I50" i="3"/>
  <c r="F50" i="3"/>
  <c r="L49" i="3"/>
  <c r="I49" i="3"/>
  <c r="F49" i="3"/>
  <c r="L48" i="3"/>
  <c r="I48" i="3"/>
  <c r="F48" i="3"/>
  <c r="L47" i="3"/>
  <c r="I47" i="3"/>
  <c r="F47" i="3"/>
  <c r="L46" i="3"/>
  <c r="I46" i="3"/>
  <c r="F46" i="3"/>
  <c r="L45" i="3"/>
  <c r="I45" i="3"/>
  <c r="F45" i="3"/>
  <c r="L44" i="3"/>
  <c r="I44" i="3"/>
  <c r="F44" i="3"/>
  <c r="L43" i="3"/>
  <c r="I43" i="3"/>
  <c r="F43" i="3"/>
  <c r="L42" i="3"/>
  <c r="I42" i="3"/>
  <c r="F42" i="3"/>
  <c r="L41" i="3"/>
  <c r="I41" i="3"/>
  <c r="F41" i="3"/>
  <c r="L40" i="3"/>
  <c r="I40" i="3"/>
  <c r="F40" i="3"/>
  <c r="L39" i="3"/>
  <c r="I39" i="3"/>
  <c r="F39" i="3"/>
  <c r="L38" i="3"/>
  <c r="I38" i="3"/>
  <c r="F38" i="3"/>
  <c r="L37" i="3"/>
  <c r="I37" i="3"/>
  <c r="F37" i="3"/>
  <c r="L36" i="3"/>
  <c r="I36" i="3"/>
  <c r="F36" i="3"/>
  <c r="L35" i="3"/>
  <c r="I35" i="3"/>
  <c r="F35" i="3"/>
  <c r="L34" i="3"/>
  <c r="I34" i="3"/>
  <c r="F34" i="3"/>
  <c r="L33" i="3"/>
  <c r="I33" i="3"/>
  <c r="F33" i="3"/>
  <c r="L32" i="3"/>
  <c r="I32" i="3"/>
  <c r="F32" i="3"/>
  <c r="L31" i="3"/>
  <c r="I31" i="3"/>
  <c r="F31" i="3"/>
  <c r="L30" i="3"/>
  <c r="I30" i="3"/>
  <c r="F30" i="3"/>
  <c r="L29" i="3"/>
  <c r="I29" i="3"/>
  <c r="F29" i="3"/>
  <c r="L28" i="3"/>
  <c r="I28" i="3"/>
  <c r="F28" i="3"/>
  <c r="L27" i="3"/>
  <c r="I27" i="3"/>
  <c r="F27" i="3"/>
  <c r="L26" i="3"/>
  <c r="I26" i="3"/>
  <c r="F26" i="3"/>
  <c r="L25" i="3"/>
  <c r="I25" i="3"/>
  <c r="F25" i="3"/>
  <c r="L24" i="3"/>
  <c r="I24" i="3"/>
  <c r="F24" i="3"/>
  <c r="L23" i="3"/>
  <c r="I23" i="3"/>
  <c r="F23" i="3"/>
  <c r="L22" i="3"/>
  <c r="I22" i="3"/>
  <c r="F22" i="3"/>
  <c r="L21" i="3"/>
  <c r="I21" i="3"/>
  <c r="F21" i="3"/>
  <c r="L20" i="3"/>
  <c r="I20" i="3"/>
  <c r="F20" i="3"/>
  <c r="L19" i="3"/>
  <c r="I19" i="3"/>
  <c r="F19" i="3"/>
  <c r="L18" i="3"/>
  <c r="I18" i="3"/>
  <c r="F18" i="3"/>
  <c r="L17" i="3"/>
  <c r="I17" i="3"/>
  <c r="F17" i="3"/>
  <c r="L16" i="3"/>
  <c r="I16" i="3"/>
  <c r="F16" i="3"/>
  <c r="L15" i="3"/>
  <c r="I15" i="3"/>
  <c r="F15" i="3"/>
  <c r="L14" i="3"/>
  <c r="I14" i="3"/>
  <c r="F14" i="3"/>
  <c r="L13" i="3"/>
  <c r="I13" i="3"/>
  <c r="F13" i="3"/>
  <c r="L12" i="3"/>
  <c r="I12" i="3"/>
  <c r="F12" i="3"/>
  <c r="L11" i="3"/>
  <c r="I11" i="3"/>
  <c r="F11" i="3"/>
  <c r="L10" i="3"/>
  <c r="I10" i="3"/>
  <c r="F10" i="3"/>
  <c r="L9" i="3"/>
  <c r="I9" i="3"/>
  <c r="F9" i="3"/>
  <c r="L8" i="3"/>
  <c r="I8" i="3"/>
  <c r="F8" i="3"/>
  <c r="L7" i="3"/>
  <c r="I7" i="3"/>
  <c r="F7" i="3"/>
  <c r="L6" i="3"/>
  <c r="I6" i="3"/>
  <c r="F6" i="3"/>
  <c r="L5" i="3"/>
  <c r="I5" i="3"/>
  <c r="F5" i="3"/>
  <c r="L4" i="3"/>
  <c r="I4" i="3"/>
  <c r="F4" i="3"/>
  <c r="L3" i="3"/>
  <c r="I3" i="3"/>
  <c r="F3" i="3"/>
  <c r="L2" i="3"/>
  <c r="I2" i="3"/>
  <c r="F2" i="3"/>
  <c r="R238" i="2"/>
  <c r="P6" i="6" s="1"/>
  <c r="Q238" i="2"/>
  <c r="O6" i="6" s="1"/>
  <c r="P238" i="2"/>
  <c r="N6" i="6" s="1"/>
  <c r="O238" i="2"/>
  <c r="M6" i="6" s="1"/>
  <c r="N238" i="2"/>
  <c r="L6" i="6" s="1"/>
  <c r="M238" i="2"/>
  <c r="K6" i="6" s="1"/>
  <c r="K238" i="2"/>
  <c r="I6" i="6" s="1"/>
  <c r="J238" i="2"/>
  <c r="H6" i="6" s="1"/>
  <c r="H238" i="2"/>
  <c r="F6" i="6" s="1"/>
  <c r="G238" i="2"/>
  <c r="G6" i="6" s="1"/>
  <c r="E238" i="2"/>
  <c r="F238" i="2" s="1"/>
  <c r="D6" i="6" s="1"/>
  <c r="D238" i="2"/>
  <c r="B6" i="6" s="1"/>
  <c r="L221" i="2"/>
  <c r="I221" i="2"/>
  <c r="F221" i="2"/>
  <c r="L220" i="2"/>
  <c r="I220" i="2"/>
  <c r="F220" i="2"/>
  <c r="L219" i="2"/>
  <c r="I219" i="2"/>
  <c r="F219" i="2"/>
  <c r="L218" i="2"/>
  <c r="I218" i="2"/>
  <c r="F218" i="2"/>
  <c r="L217" i="2"/>
  <c r="I217" i="2"/>
  <c r="F217" i="2"/>
  <c r="L216" i="2"/>
  <c r="I216" i="2"/>
  <c r="F216" i="2"/>
  <c r="L215" i="2"/>
  <c r="I215" i="2"/>
  <c r="F215" i="2"/>
  <c r="L214" i="2"/>
  <c r="I214" i="2"/>
  <c r="F214" i="2"/>
  <c r="L213" i="2"/>
  <c r="I213" i="2"/>
  <c r="F213" i="2"/>
  <c r="L212" i="2"/>
  <c r="I212" i="2"/>
  <c r="F212" i="2"/>
  <c r="L211" i="2"/>
  <c r="I211" i="2"/>
  <c r="F211" i="2"/>
  <c r="L210" i="2"/>
  <c r="I210" i="2"/>
  <c r="F210" i="2"/>
  <c r="L209" i="2"/>
  <c r="I209" i="2"/>
  <c r="F209" i="2"/>
  <c r="L208" i="2"/>
  <c r="I208" i="2"/>
  <c r="F208" i="2"/>
  <c r="L207" i="2"/>
  <c r="I207" i="2"/>
  <c r="F207" i="2"/>
  <c r="L206" i="2"/>
  <c r="I206" i="2"/>
  <c r="F206" i="2"/>
  <c r="L205" i="2"/>
  <c r="I205" i="2"/>
  <c r="F205" i="2"/>
  <c r="L204" i="2"/>
  <c r="I204" i="2"/>
  <c r="F204" i="2"/>
  <c r="L203" i="2"/>
  <c r="I203" i="2"/>
  <c r="F203" i="2"/>
  <c r="L202" i="2"/>
  <c r="I202" i="2"/>
  <c r="F202" i="2"/>
  <c r="L201" i="2"/>
  <c r="I201" i="2"/>
  <c r="F201" i="2"/>
  <c r="L200" i="2"/>
  <c r="I200" i="2"/>
  <c r="F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L195" i="2"/>
  <c r="I195" i="2"/>
  <c r="F195" i="2"/>
  <c r="L194" i="2"/>
  <c r="I194" i="2"/>
  <c r="F194" i="2"/>
  <c r="L193" i="2"/>
  <c r="I193" i="2"/>
  <c r="F193" i="2"/>
  <c r="L192" i="2"/>
  <c r="I192" i="2"/>
  <c r="F192" i="2"/>
  <c r="L191" i="2"/>
  <c r="I191" i="2"/>
  <c r="F191" i="2"/>
  <c r="L190" i="2"/>
  <c r="I190" i="2"/>
  <c r="F190" i="2"/>
  <c r="L189" i="2"/>
  <c r="I189" i="2"/>
  <c r="F189" i="2"/>
  <c r="L188" i="2"/>
  <c r="I188" i="2"/>
  <c r="F188" i="2"/>
  <c r="L187" i="2"/>
  <c r="I187" i="2"/>
  <c r="F187" i="2"/>
  <c r="L186" i="2"/>
  <c r="I186" i="2"/>
  <c r="F186" i="2"/>
  <c r="L185" i="2"/>
  <c r="I185" i="2"/>
  <c r="F185" i="2"/>
  <c r="L184" i="2"/>
  <c r="I184" i="2"/>
  <c r="F184" i="2"/>
  <c r="L183" i="2"/>
  <c r="I183" i="2"/>
  <c r="F183" i="2"/>
  <c r="L182" i="2"/>
  <c r="I182" i="2"/>
  <c r="F182" i="2"/>
  <c r="L181" i="2"/>
  <c r="I181" i="2"/>
  <c r="F181" i="2"/>
  <c r="L180" i="2"/>
  <c r="I180" i="2"/>
  <c r="F180" i="2"/>
  <c r="L179" i="2"/>
  <c r="I179" i="2"/>
  <c r="F179" i="2"/>
  <c r="L178" i="2"/>
  <c r="I178" i="2"/>
  <c r="F178" i="2"/>
  <c r="L177" i="2"/>
  <c r="I177" i="2"/>
  <c r="F177" i="2"/>
  <c r="L176" i="2"/>
  <c r="I176" i="2"/>
  <c r="F176" i="2"/>
  <c r="L175" i="2"/>
  <c r="I175" i="2"/>
  <c r="F175" i="2"/>
  <c r="L174" i="2"/>
  <c r="I174" i="2"/>
  <c r="F174" i="2"/>
  <c r="L173" i="2"/>
  <c r="I173" i="2"/>
  <c r="F173" i="2"/>
  <c r="L172" i="2"/>
  <c r="I172" i="2"/>
  <c r="F172" i="2"/>
  <c r="L171" i="2"/>
  <c r="I171" i="2"/>
  <c r="F171" i="2"/>
  <c r="L170" i="2"/>
  <c r="I170" i="2"/>
  <c r="F170" i="2"/>
  <c r="L169" i="2"/>
  <c r="I169" i="2"/>
  <c r="F169" i="2"/>
  <c r="L168" i="2"/>
  <c r="I168" i="2"/>
  <c r="F168" i="2"/>
  <c r="L167" i="2"/>
  <c r="I167" i="2"/>
  <c r="F167" i="2"/>
  <c r="L166" i="2"/>
  <c r="I166" i="2"/>
  <c r="F166" i="2"/>
  <c r="L165" i="2"/>
  <c r="I165" i="2"/>
  <c r="F165" i="2"/>
  <c r="L164" i="2"/>
  <c r="I164" i="2"/>
  <c r="F164" i="2"/>
  <c r="L163" i="2"/>
  <c r="I163" i="2"/>
  <c r="F163" i="2"/>
  <c r="L162" i="2"/>
  <c r="I162" i="2"/>
  <c r="F162" i="2"/>
  <c r="L161" i="2"/>
  <c r="I161" i="2"/>
  <c r="F161" i="2"/>
  <c r="L160" i="2"/>
  <c r="I160" i="2"/>
  <c r="F160" i="2"/>
  <c r="L159" i="2"/>
  <c r="I159" i="2"/>
  <c r="F159" i="2"/>
  <c r="L158" i="2"/>
  <c r="I158" i="2"/>
  <c r="F158" i="2"/>
  <c r="L157" i="2"/>
  <c r="I157" i="2"/>
  <c r="F157" i="2"/>
  <c r="L156" i="2"/>
  <c r="I156" i="2"/>
  <c r="F156" i="2"/>
  <c r="L155" i="2"/>
  <c r="I155" i="2"/>
  <c r="F155" i="2"/>
  <c r="L154" i="2"/>
  <c r="I154" i="2"/>
  <c r="F154" i="2"/>
  <c r="L153" i="2"/>
  <c r="I153" i="2"/>
  <c r="F153" i="2"/>
  <c r="L152" i="2"/>
  <c r="I152" i="2"/>
  <c r="F152" i="2"/>
  <c r="L151" i="2"/>
  <c r="I151" i="2"/>
  <c r="F151" i="2"/>
  <c r="L150" i="2"/>
  <c r="I150" i="2"/>
  <c r="F150" i="2"/>
  <c r="L149" i="2"/>
  <c r="I149" i="2"/>
  <c r="F149" i="2"/>
  <c r="L148" i="2"/>
  <c r="I148" i="2"/>
  <c r="F148" i="2"/>
  <c r="L147" i="2"/>
  <c r="I147" i="2"/>
  <c r="F147" i="2"/>
  <c r="L146" i="2"/>
  <c r="I146" i="2"/>
  <c r="F146" i="2"/>
  <c r="L145" i="2"/>
  <c r="I145" i="2"/>
  <c r="F145" i="2"/>
  <c r="L144" i="2"/>
  <c r="I144" i="2"/>
  <c r="F144" i="2"/>
  <c r="L143" i="2"/>
  <c r="I143" i="2"/>
  <c r="F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I137" i="2"/>
  <c r="F137" i="2"/>
  <c r="L136" i="2"/>
  <c r="I136" i="2"/>
  <c r="F136" i="2"/>
  <c r="L135" i="2"/>
  <c r="I135" i="2"/>
  <c r="F135" i="2"/>
  <c r="L134" i="2"/>
  <c r="I134" i="2"/>
  <c r="F134" i="2"/>
  <c r="L133" i="2"/>
  <c r="I133" i="2"/>
  <c r="F133" i="2"/>
  <c r="L132" i="2"/>
  <c r="I132" i="2"/>
  <c r="F132" i="2"/>
  <c r="L131" i="2"/>
  <c r="I131" i="2"/>
  <c r="F131" i="2"/>
  <c r="L130" i="2"/>
  <c r="I130" i="2"/>
  <c r="F130" i="2"/>
  <c r="L129" i="2"/>
  <c r="I129" i="2"/>
  <c r="F129" i="2"/>
  <c r="L128" i="2"/>
  <c r="I128" i="2"/>
  <c r="F128" i="2"/>
  <c r="L127" i="2"/>
  <c r="I127" i="2"/>
  <c r="F127" i="2"/>
  <c r="L126" i="2"/>
  <c r="I126" i="2"/>
  <c r="F126" i="2"/>
  <c r="L125" i="2"/>
  <c r="I125" i="2"/>
  <c r="F125" i="2"/>
  <c r="L124" i="2"/>
  <c r="I124" i="2"/>
  <c r="F124" i="2"/>
  <c r="L123" i="2"/>
  <c r="I123" i="2"/>
  <c r="F123" i="2"/>
  <c r="L122" i="2"/>
  <c r="I122" i="2"/>
  <c r="F122" i="2"/>
  <c r="L121" i="2"/>
  <c r="I121" i="2"/>
  <c r="F121" i="2"/>
  <c r="L120" i="2"/>
  <c r="I120" i="2"/>
  <c r="F120" i="2"/>
  <c r="L119" i="2"/>
  <c r="I119" i="2"/>
  <c r="F119" i="2"/>
  <c r="L118" i="2"/>
  <c r="I118" i="2"/>
  <c r="F118" i="2"/>
  <c r="L117" i="2"/>
  <c r="I117" i="2"/>
  <c r="F117" i="2"/>
  <c r="L116" i="2"/>
  <c r="I116" i="2"/>
  <c r="F116" i="2"/>
  <c r="L115" i="2"/>
  <c r="I115" i="2"/>
  <c r="F115" i="2"/>
  <c r="L114" i="2"/>
  <c r="I114" i="2"/>
  <c r="F114" i="2"/>
  <c r="L113" i="2"/>
  <c r="I113" i="2"/>
  <c r="F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I108" i="2"/>
  <c r="F108" i="2"/>
  <c r="L107" i="2"/>
  <c r="I107" i="2"/>
  <c r="F107" i="2"/>
  <c r="L106" i="2"/>
  <c r="I106" i="2"/>
  <c r="F106" i="2"/>
  <c r="L105" i="2"/>
  <c r="I105" i="2"/>
  <c r="F105" i="2"/>
  <c r="L104" i="2"/>
  <c r="I104" i="2"/>
  <c r="F104" i="2"/>
  <c r="L103" i="2"/>
  <c r="I103" i="2"/>
  <c r="F103" i="2"/>
  <c r="L102" i="2"/>
  <c r="I102" i="2"/>
  <c r="F102" i="2"/>
  <c r="L101" i="2"/>
  <c r="I101" i="2"/>
  <c r="F101" i="2"/>
  <c r="L100" i="2"/>
  <c r="I100" i="2"/>
  <c r="F100" i="2"/>
  <c r="L99" i="2"/>
  <c r="I99" i="2"/>
  <c r="F99" i="2"/>
  <c r="L98" i="2"/>
  <c r="I98" i="2"/>
  <c r="F98" i="2"/>
  <c r="L97" i="2"/>
  <c r="I97" i="2"/>
  <c r="F97" i="2"/>
  <c r="L96" i="2"/>
  <c r="I96" i="2"/>
  <c r="F96" i="2"/>
  <c r="L95" i="2"/>
  <c r="I95" i="2"/>
  <c r="F95" i="2"/>
  <c r="L94" i="2"/>
  <c r="I94" i="2"/>
  <c r="F94" i="2"/>
  <c r="L93" i="2"/>
  <c r="I93" i="2"/>
  <c r="F93" i="2"/>
  <c r="L92" i="2"/>
  <c r="I92" i="2"/>
  <c r="F92" i="2"/>
  <c r="L91" i="2"/>
  <c r="I91" i="2"/>
  <c r="F91" i="2"/>
  <c r="L90" i="2"/>
  <c r="I90" i="2"/>
  <c r="F90" i="2"/>
  <c r="L89" i="2"/>
  <c r="I89" i="2"/>
  <c r="F89" i="2"/>
  <c r="L88" i="2"/>
  <c r="I88" i="2"/>
  <c r="F88" i="2"/>
  <c r="L87" i="2"/>
  <c r="I87" i="2"/>
  <c r="F87" i="2"/>
  <c r="L86" i="2"/>
  <c r="I86" i="2"/>
  <c r="F86" i="2"/>
  <c r="L85" i="2"/>
  <c r="I85" i="2"/>
  <c r="F85" i="2"/>
  <c r="L84" i="2"/>
  <c r="I84" i="2"/>
  <c r="F84" i="2"/>
  <c r="L83" i="2"/>
  <c r="I83" i="2"/>
  <c r="F83" i="2"/>
  <c r="L82" i="2"/>
  <c r="I82" i="2"/>
  <c r="F82" i="2"/>
  <c r="L81" i="2"/>
  <c r="I81" i="2"/>
  <c r="F81" i="2"/>
  <c r="L80" i="2"/>
  <c r="I80" i="2"/>
  <c r="F80" i="2"/>
  <c r="L79" i="2"/>
  <c r="I79" i="2"/>
  <c r="F79" i="2"/>
  <c r="L78" i="2"/>
  <c r="I78" i="2"/>
  <c r="F78" i="2"/>
  <c r="L77" i="2"/>
  <c r="I77" i="2"/>
  <c r="F77" i="2"/>
  <c r="L76" i="2"/>
  <c r="I76" i="2"/>
  <c r="F76" i="2"/>
  <c r="L75" i="2"/>
  <c r="I75" i="2"/>
  <c r="F75" i="2"/>
  <c r="L74" i="2"/>
  <c r="I74" i="2"/>
  <c r="F74" i="2"/>
  <c r="L73" i="2"/>
  <c r="I73" i="2"/>
  <c r="F73" i="2"/>
  <c r="L72" i="2"/>
  <c r="I72" i="2"/>
  <c r="F72" i="2"/>
  <c r="L71" i="2"/>
  <c r="I71" i="2"/>
  <c r="F71" i="2"/>
  <c r="L70" i="2"/>
  <c r="I70" i="2"/>
  <c r="F70" i="2"/>
  <c r="L69" i="2"/>
  <c r="I69" i="2"/>
  <c r="F69" i="2"/>
  <c r="L68" i="2"/>
  <c r="I68" i="2"/>
  <c r="F68" i="2"/>
  <c r="L67" i="2"/>
  <c r="I67" i="2"/>
  <c r="F67" i="2"/>
  <c r="L66" i="2"/>
  <c r="I66" i="2"/>
  <c r="F66" i="2"/>
  <c r="L65" i="2"/>
  <c r="I65" i="2"/>
  <c r="F65" i="2"/>
  <c r="L64" i="2"/>
  <c r="I64" i="2"/>
  <c r="F64" i="2"/>
  <c r="L63" i="2"/>
  <c r="I63" i="2"/>
  <c r="F63" i="2"/>
  <c r="L62" i="2"/>
  <c r="I62" i="2"/>
  <c r="F62" i="2"/>
  <c r="L61" i="2"/>
  <c r="I61" i="2"/>
  <c r="F61" i="2"/>
  <c r="L60" i="2"/>
  <c r="I60" i="2"/>
  <c r="F60" i="2"/>
  <c r="L59" i="2"/>
  <c r="I59" i="2"/>
  <c r="F59" i="2"/>
  <c r="L58" i="2"/>
  <c r="I58" i="2"/>
  <c r="F58" i="2"/>
  <c r="L57" i="2"/>
  <c r="I57" i="2"/>
  <c r="F57" i="2"/>
  <c r="L56" i="2"/>
  <c r="I56" i="2"/>
  <c r="F56" i="2"/>
  <c r="L55" i="2"/>
  <c r="I55" i="2"/>
  <c r="F55" i="2"/>
  <c r="L54" i="2"/>
  <c r="I54" i="2"/>
  <c r="F54" i="2"/>
  <c r="L53" i="2"/>
  <c r="I53" i="2"/>
  <c r="F53" i="2"/>
  <c r="L52" i="2"/>
  <c r="I52" i="2"/>
  <c r="F52" i="2"/>
  <c r="L51" i="2"/>
  <c r="I51" i="2"/>
  <c r="F51" i="2"/>
  <c r="L50" i="2"/>
  <c r="I50" i="2"/>
  <c r="F50" i="2"/>
  <c r="L49" i="2"/>
  <c r="I49" i="2"/>
  <c r="F49" i="2"/>
  <c r="L48" i="2"/>
  <c r="I48" i="2"/>
  <c r="F48" i="2"/>
  <c r="L47" i="2"/>
  <c r="I47" i="2"/>
  <c r="F47" i="2"/>
  <c r="L46" i="2"/>
  <c r="I46" i="2"/>
  <c r="F46" i="2"/>
  <c r="L45" i="2"/>
  <c r="I45" i="2"/>
  <c r="F45" i="2"/>
  <c r="L44" i="2"/>
  <c r="I44" i="2"/>
  <c r="F44" i="2"/>
  <c r="L43" i="2"/>
  <c r="I43" i="2"/>
  <c r="F43" i="2"/>
  <c r="L42" i="2"/>
  <c r="I42" i="2"/>
  <c r="F42" i="2"/>
  <c r="L41" i="2"/>
  <c r="I41" i="2"/>
  <c r="F41" i="2"/>
  <c r="L40" i="2"/>
  <c r="I40" i="2"/>
  <c r="F40" i="2"/>
  <c r="L39" i="2"/>
  <c r="I39" i="2"/>
  <c r="F39" i="2"/>
  <c r="L38" i="2"/>
  <c r="I38" i="2"/>
  <c r="F38" i="2"/>
  <c r="L37" i="2"/>
  <c r="I37" i="2"/>
  <c r="F37" i="2"/>
  <c r="L36" i="2"/>
  <c r="I36" i="2"/>
  <c r="F36" i="2"/>
  <c r="L35" i="2"/>
  <c r="I35" i="2"/>
  <c r="F35" i="2"/>
  <c r="L34" i="2"/>
  <c r="I34" i="2"/>
  <c r="F34" i="2"/>
  <c r="L33" i="2"/>
  <c r="I33" i="2"/>
  <c r="F33" i="2"/>
  <c r="L32" i="2"/>
  <c r="I32" i="2"/>
  <c r="F32" i="2"/>
  <c r="L31" i="2"/>
  <c r="I31" i="2"/>
  <c r="F31" i="2"/>
  <c r="L30" i="2"/>
  <c r="I30" i="2"/>
  <c r="F30" i="2"/>
  <c r="L29" i="2"/>
  <c r="I29" i="2"/>
  <c r="F29" i="2"/>
  <c r="L28" i="2"/>
  <c r="I28" i="2"/>
  <c r="F28" i="2"/>
  <c r="L27" i="2"/>
  <c r="I27" i="2"/>
  <c r="F27" i="2"/>
  <c r="L26" i="2"/>
  <c r="I26" i="2"/>
  <c r="F26" i="2"/>
  <c r="L25" i="2"/>
  <c r="I25" i="2"/>
  <c r="F25" i="2"/>
  <c r="L24" i="2"/>
  <c r="I24" i="2"/>
  <c r="F24" i="2"/>
  <c r="L23" i="2"/>
  <c r="I23" i="2"/>
  <c r="F23" i="2"/>
  <c r="L22" i="2"/>
  <c r="I22" i="2"/>
  <c r="F22" i="2"/>
  <c r="L21" i="2"/>
  <c r="I21" i="2"/>
  <c r="F21" i="2"/>
  <c r="L20" i="2"/>
  <c r="I20" i="2"/>
  <c r="F20" i="2"/>
  <c r="L19" i="2"/>
  <c r="I19" i="2"/>
  <c r="F19" i="2"/>
  <c r="L18" i="2"/>
  <c r="I18" i="2"/>
  <c r="F18" i="2"/>
  <c r="L17" i="2"/>
  <c r="I17" i="2"/>
  <c r="F17" i="2"/>
  <c r="L16" i="2"/>
  <c r="I16" i="2"/>
  <c r="F16" i="2"/>
  <c r="L15" i="2"/>
  <c r="I15" i="2"/>
  <c r="F15" i="2"/>
  <c r="L14" i="2"/>
  <c r="I14" i="2"/>
  <c r="F14" i="2"/>
  <c r="L13" i="2"/>
  <c r="I13" i="2"/>
  <c r="F13" i="2"/>
  <c r="L12" i="2"/>
  <c r="I12" i="2"/>
  <c r="F12" i="2"/>
  <c r="L11" i="2"/>
  <c r="I11" i="2"/>
  <c r="F11" i="2"/>
  <c r="L10" i="2"/>
  <c r="I10" i="2"/>
  <c r="F10" i="2"/>
  <c r="L9" i="2"/>
  <c r="I9" i="2"/>
  <c r="F9" i="2"/>
  <c r="L8" i="2"/>
  <c r="I8" i="2"/>
  <c r="F8" i="2"/>
  <c r="L7" i="2"/>
  <c r="I7" i="2"/>
  <c r="F7" i="2"/>
  <c r="L6" i="2"/>
  <c r="I6" i="2"/>
  <c r="F6" i="2"/>
  <c r="L5" i="2"/>
  <c r="I5" i="2"/>
  <c r="F5" i="2"/>
  <c r="L4" i="2"/>
  <c r="I4" i="2"/>
  <c r="F4" i="2"/>
  <c r="L3" i="2"/>
  <c r="I3" i="2"/>
  <c r="F3" i="2"/>
  <c r="L2" i="2"/>
  <c r="I2" i="2"/>
  <c r="F2" i="2"/>
  <c r="R263" i="8"/>
  <c r="P4" i="6" s="1"/>
  <c r="Q263" i="8"/>
  <c r="O4" i="6" s="1"/>
  <c r="P263" i="8"/>
  <c r="N4" i="6" s="1"/>
  <c r="O263" i="8"/>
  <c r="M4" i="6" s="1"/>
  <c r="N263" i="8"/>
  <c r="L4" i="6" s="1"/>
  <c r="M263" i="8"/>
  <c r="K4" i="6" s="1"/>
  <c r="K263" i="8"/>
  <c r="I4" i="6" s="1"/>
  <c r="J263" i="8"/>
  <c r="J4" i="6" s="1"/>
  <c r="H263" i="8"/>
  <c r="F4" i="6" s="1"/>
  <c r="G263" i="8"/>
  <c r="E4" i="6" s="1"/>
  <c r="E263" i="8"/>
  <c r="C4" i="6" s="1"/>
  <c r="D263" i="8"/>
  <c r="B4" i="6" s="1"/>
  <c r="L244" i="8"/>
  <c r="I244" i="8"/>
  <c r="F244" i="8"/>
  <c r="L243" i="8"/>
  <c r="I243" i="8"/>
  <c r="F243" i="8"/>
  <c r="L242" i="8"/>
  <c r="I242" i="8"/>
  <c r="F242" i="8"/>
  <c r="L241" i="8"/>
  <c r="I241" i="8"/>
  <c r="F241" i="8"/>
  <c r="L240" i="8"/>
  <c r="I240" i="8"/>
  <c r="F240" i="8"/>
  <c r="L239" i="8"/>
  <c r="I239" i="8"/>
  <c r="F239" i="8"/>
  <c r="L238" i="8"/>
  <c r="I238" i="8"/>
  <c r="F238" i="8"/>
  <c r="L237" i="8"/>
  <c r="I237" i="8"/>
  <c r="F237" i="8"/>
  <c r="L236" i="8"/>
  <c r="I236" i="8"/>
  <c r="F236" i="8"/>
  <c r="L235" i="8"/>
  <c r="I235" i="8"/>
  <c r="F235" i="8"/>
  <c r="L234" i="8"/>
  <c r="I234" i="8"/>
  <c r="F234" i="8"/>
  <c r="L233" i="8"/>
  <c r="I233" i="8"/>
  <c r="F233" i="8"/>
  <c r="L232" i="8"/>
  <c r="I232" i="8"/>
  <c r="F232" i="8"/>
  <c r="L231" i="8"/>
  <c r="I231" i="8"/>
  <c r="F231" i="8"/>
  <c r="L230" i="8"/>
  <c r="I230" i="8"/>
  <c r="F230" i="8"/>
  <c r="L229" i="8"/>
  <c r="I229" i="8"/>
  <c r="F229" i="8"/>
  <c r="L228" i="8"/>
  <c r="I228" i="8"/>
  <c r="F228" i="8"/>
  <c r="L227" i="8"/>
  <c r="I227" i="8"/>
  <c r="F227" i="8"/>
  <c r="L226" i="8"/>
  <c r="I226" i="8"/>
  <c r="F226" i="8"/>
  <c r="L225" i="8"/>
  <c r="I225" i="8"/>
  <c r="F225" i="8"/>
  <c r="L224" i="8"/>
  <c r="I224" i="8"/>
  <c r="F224" i="8"/>
  <c r="L223" i="8"/>
  <c r="I223" i="8"/>
  <c r="F223" i="8"/>
  <c r="L222" i="8"/>
  <c r="I222" i="8"/>
  <c r="F222" i="8"/>
  <c r="L221" i="8"/>
  <c r="I221" i="8"/>
  <c r="F221" i="8"/>
  <c r="L220" i="8"/>
  <c r="I220" i="8"/>
  <c r="F220" i="8"/>
  <c r="L219" i="8"/>
  <c r="I219" i="8"/>
  <c r="F219" i="8"/>
  <c r="L218" i="8"/>
  <c r="I218" i="8"/>
  <c r="F218" i="8"/>
  <c r="L217" i="8"/>
  <c r="I217" i="8"/>
  <c r="F217" i="8"/>
  <c r="L216" i="8"/>
  <c r="I216" i="8"/>
  <c r="F216" i="8"/>
  <c r="L215" i="8"/>
  <c r="I215" i="8"/>
  <c r="F215" i="8"/>
  <c r="L214" i="8"/>
  <c r="I214" i="8"/>
  <c r="F214" i="8"/>
  <c r="L213" i="8"/>
  <c r="I213" i="8"/>
  <c r="F213" i="8"/>
  <c r="L212" i="8"/>
  <c r="I212" i="8"/>
  <c r="F212" i="8"/>
  <c r="L211" i="8"/>
  <c r="I211" i="8"/>
  <c r="F211" i="8"/>
  <c r="L210" i="8"/>
  <c r="I210" i="8"/>
  <c r="F210" i="8"/>
  <c r="L209" i="8"/>
  <c r="I209" i="8"/>
  <c r="F209" i="8"/>
  <c r="L208" i="8"/>
  <c r="I208" i="8"/>
  <c r="F208" i="8"/>
  <c r="L207" i="8"/>
  <c r="I207" i="8"/>
  <c r="F207" i="8"/>
  <c r="L206" i="8"/>
  <c r="I206" i="8"/>
  <c r="F206" i="8"/>
  <c r="L205" i="8"/>
  <c r="I205" i="8"/>
  <c r="F205" i="8"/>
  <c r="L204" i="8"/>
  <c r="I204" i="8"/>
  <c r="F204" i="8"/>
  <c r="L203" i="8"/>
  <c r="I203" i="8"/>
  <c r="F203" i="8"/>
  <c r="L202" i="8"/>
  <c r="I202" i="8"/>
  <c r="F202" i="8"/>
  <c r="L201" i="8"/>
  <c r="I201" i="8"/>
  <c r="F201" i="8"/>
  <c r="L200" i="8"/>
  <c r="I200" i="8"/>
  <c r="F200" i="8"/>
  <c r="L199" i="8"/>
  <c r="I199" i="8"/>
  <c r="F199" i="8"/>
  <c r="L198" i="8"/>
  <c r="I198" i="8"/>
  <c r="F198" i="8"/>
  <c r="L197" i="8"/>
  <c r="I197" i="8"/>
  <c r="F197" i="8"/>
  <c r="L196" i="8"/>
  <c r="I196" i="8"/>
  <c r="F196" i="8"/>
  <c r="L195" i="8"/>
  <c r="I195" i="8"/>
  <c r="F195" i="8"/>
  <c r="L194" i="8"/>
  <c r="I194" i="8"/>
  <c r="F194" i="8"/>
  <c r="L193" i="8"/>
  <c r="I193" i="8"/>
  <c r="F193" i="8"/>
  <c r="L192" i="8"/>
  <c r="I192" i="8"/>
  <c r="F192" i="8"/>
  <c r="L191" i="8"/>
  <c r="I191" i="8"/>
  <c r="F191" i="8"/>
  <c r="L190" i="8"/>
  <c r="I190" i="8"/>
  <c r="F190" i="8"/>
  <c r="L189" i="8"/>
  <c r="I189" i="8"/>
  <c r="F189" i="8"/>
  <c r="L188" i="8"/>
  <c r="I188" i="8"/>
  <c r="F188" i="8"/>
  <c r="L187" i="8"/>
  <c r="I187" i="8"/>
  <c r="F187" i="8"/>
  <c r="L186" i="8"/>
  <c r="I186" i="8"/>
  <c r="F186" i="8"/>
  <c r="L185" i="8"/>
  <c r="I185" i="8"/>
  <c r="F185" i="8"/>
  <c r="L184" i="8"/>
  <c r="I184" i="8"/>
  <c r="F184" i="8"/>
  <c r="L183" i="8"/>
  <c r="I183" i="8"/>
  <c r="F183" i="8"/>
  <c r="L182" i="8"/>
  <c r="I182" i="8"/>
  <c r="F182" i="8"/>
  <c r="L181" i="8"/>
  <c r="I181" i="8"/>
  <c r="F181" i="8"/>
  <c r="L180" i="8"/>
  <c r="I180" i="8"/>
  <c r="F180" i="8"/>
  <c r="L179" i="8"/>
  <c r="I179" i="8"/>
  <c r="F179" i="8"/>
  <c r="L178" i="8"/>
  <c r="I178" i="8"/>
  <c r="F178" i="8"/>
  <c r="L177" i="8"/>
  <c r="I177" i="8"/>
  <c r="F177" i="8"/>
  <c r="L176" i="8"/>
  <c r="I176" i="8"/>
  <c r="F176" i="8"/>
  <c r="L175" i="8"/>
  <c r="I175" i="8"/>
  <c r="F175" i="8"/>
  <c r="L174" i="8"/>
  <c r="I174" i="8"/>
  <c r="F174" i="8"/>
  <c r="L173" i="8"/>
  <c r="I173" i="8"/>
  <c r="F173" i="8"/>
  <c r="L172" i="8"/>
  <c r="I172" i="8"/>
  <c r="F172" i="8"/>
  <c r="L171" i="8"/>
  <c r="I171" i="8"/>
  <c r="F171" i="8"/>
  <c r="L170" i="8"/>
  <c r="I170" i="8"/>
  <c r="F170" i="8"/>
  <c r="L169" i="8"/>
  <c r="I169" i="8"/>
  <c r="F169" i="8"/>
  <c r="L168" i="8"/>
  <c r="I168" i="8"/>
  <c r="F168" i="8"/>
  <c r="L167" i="8"/>
  <c r="I167" i="8"/>
  <c r="F167" i="8"/>
  <c r="L166" i="8"/>
  <c r="I166" i="8"/>
  <c r="F166" i="8"/>
  <c r="L165" i="8"/>
  <c r="I165" i="8"/>
  <c r="F165" i="8"/>
  <c r="L164" i="8"/>
  <c r="I164" i="8"/>
  <c r="F164" i="8"/>
  <c r="L163" i="8"/>
  <c r="I163" i="8"/>
  <c r="F163" i="8"/>
  <c r="L162" i="8"/>
  <c r="I162" i="8"/>
  <c r="F162" i="8"/>
  <c r="L161" i="8"/>
  <c r="I161" i="8"/>
  <c r="F161" i="8"/>
  <c r="L160" i="8"/>
  <c r="I160" i="8"/>
  <c r="F160" i="8"/>
  <c r="L159" i="8"/>
  <c r="I159" i="8"/>
  <c r="F159" i="8"/>
  <c r="L158" i="8"/>
  <c r="I158" i="8"/>
  <c r="F158" i="8"/>
  <c r="L157" i="8"/>
  <c r="I157" i="8"/>
  <c r="F157" i="8"/>
  <c r="L156" i="8"/>
  <c r="I156" i="8"/>
  <c r="F156" i="8"/>
  <c r="L155" i="8"/>
  <c r="I155" i="8"/>
  <c r="F155" i="8"/>
  <c r="L154" i="8"/>
  <c r="I154" i="8"/>
  <c r="F154" i="8"/>
  <c r="L153" i="8"/>
  <c r="I153" i="8"/>
  <c r="F153" i="8"/>
  <c r="L152" i="8"/>
  <c r="I152" i="8"/>
  <c r="F152" i="8"/>
  <c r="L151" i="8"/>
  <c r="I151" i="8"/>
  <c r="F151" i="8"/>
  <c r="L150" i="8"/>
  <c r="I150" i="8"/>
  <c r="F150" i="8"/>
  <c r="L149" i="8"/>
  <c r="I149" i="8"/>
  <c r="F149" i="8"/>
  <c r="L148" i="8"/>
  <c r="I148" i="8"/>
  <c r="F148" i="8"/>
  <c r="L147" i="8"/>
  <c r="I147" i="8"/>
  <c r="F147" i="8"/>
  <c r="L146" i="8"/>
  <c r="I146" i="8"/>
  <c r="F146" i="8"/>
  <c r="L145" i="8"/>
  <c r="I145" i="8"/>
  <c r="F145" i="8"/>
  <c r="L144" i="8"/>
  <c r="I144" i="8"/>
  <c r="F144" i="8"/>
  <c r="L143" i="8"/>
  <c r="I143" i="8"/>
  <c r="F143" i="8"/>
  <c r="L142" i="8"/>
  <c r="I142" i="8"/>
  <c r="F142" i="8"/>
  <c r="L141" i="8"/>
  <c r="I141" i="8"/>
  <c r="F141" i="8"/>
  <c r="L140" i="8"/>
  <c r="I140" i="8"/>
  <c r="F140" i="8"/>
  <c r="L139" i="8"/>
  <c r="I139" i="8"/>
  <c r="F139" i="8"/>
  <c r="L138" i="8"/>
  <c r="I138" i="8"/>
  <c r="F138" i="8"/>
  <c r="L137" i="8"/>
  <c r="I137" i="8"/>
  <c r="F137" i="8"/>
  <c r="L136" i="8"/>
  <c r="I136" i="8"/>
  <c r="F136" i="8"/>
  <c r="L135" i="8"/>
  <c r="I135" i="8"/>
  <c r="F135" i="8"/>
  <c r="L134" i="8"/>
  <c r="I134" i="8"/>
  <c r="F134" i="8"/>
  <c r="L133" i="8"/>
  <c r="I133" i="8"/>
  <c r="F133" i="8"/>
  <c r="L132" i="8"/>
  <c r="I132" i="8"/>
  <c r="F132" i="8"/>
  <c r="L131" i="8"/>
  <c r="I131" i="8"/>
  <c r="F131" i="8"/>
  <c r="L130" i="8"/>
  <c r="I130" i="8"/>
  <c r="F130" i="8"/>
  <c r="L129" i="8"/>
  <c r="I129" i="8"/>
  <c r="F129" i="8"/>
  <c r="L128" i="8"/>
  <c r="I128" i="8"/>
  <c r="F128" i="8"/>
  <c r="L127" i="8"/>
  <c r="I127" i="8"/>
  <c r="F127" i="8"/>
  <c r="L126" i="8"/>
  <c r="I126" i="8"/>
  <c r="F126" i="8"/>
  <c r="L125" i="8"/>
  <c r="I125" i="8"/>
  <c r="F125" i="8"/>
  <c r="L124" i="8"/>
  <c r="I124" i="8"/>
  <c r="F124" i="8"/>
  <c r="L123" i="8"/>
  <c r="I123" i="8"/>
  <c r="F123" i="8"/>
  <c r="L122" i="8"/>
  <c r="I122" i="8"/>
  <c r="F122" i="8"/>
  <c r="L121" i="8"/>
  <c r="I121" i="8"/>
  <c r="F121" i="8"/>
  <c r="L120" i="8"/>
  <c r="I120" i="8"/>
  <c r="F120" i="8"/>
  <c r="L119" i="8"/>
  <c r="I119" i="8"/>
  <c r="F119" i="8"/>
  <c r="L118" i="8"/>
  <c r="I118" i="8"/>
  <c r="F118" i="8"/>
  <c r="L117" i="8"/>
  <c r="I117" i="8"/>
  <c r="F117" i="8"/>
  <c r="L116" i="8"/>
  <c r="I116" i="8"/>
  <c r="F116" i="8"/>
  <c r="L115" i="8"/>
  <c r="I115" i="8"/>
  <c r="F115" i="8"/>
  <c r="L114" i="8"/>
  <c r="I114" i="8"/>
  <c r="F114" i="8"/>
  <c r="L113" i="8"/>
  <c r="I113" i="8"/>
  <c r="F113" i="8"/>
  <c r="L112" i="8"/>
  <c r="I112" i="8"/>
  <c r="F112" i="8"/>
  <c r="L111" i="8"/>
  <c r="I111" i="8"/>
  <c r="F111" i="8"/>
  <c r="L110" i="8"/>
  <c r="I110" i="8"/>
  <c r="F110" i="8"/>
  <c r="L109" i="8"/>
  <c r="I109" i="8"/>
  <c r="F109" i="8"/>
  <c r="L108" i="8"/>
  <c r="I108" i="8"/>
  <c r="F108" i="8"/>
  <c r="L107" i="8"/>
  <c r="I107" i="8"/>
  <c r="F107" i="8"/>
  <c r="L106" i="8"/>
  <c r="I106" i="8"/>
  <c r="F106" i="8"/>
  <c r="L105" i="8"/>
  <c r="I105" i="8"/>
  <c r="F105" i="8"/>
  <c r="L104" i="8"/>
  <c r="I104" i="8"/>
  <c r="F104" i="8"/>
  <c r="L103" i="8"/>
  <c r="I103" i="8"/>
  <c r="F103" i="8"/>
  <c r="L102" i="8"/>
  <c r="I102" i="8"/>
  <c r="F102" i="8"/>
  <c r="L101" i="8"/>
  <c r="I101" i="8"/>
  <c r="F101" i="8"/>
  <c r="L100" i="8"/>
  <c r="I100" i="8"/>
  <c r="F100" i="8"/>
  <c r="L99" i="8"/>
  <c r="I99" i="8"/>
  <c r="F99" i="8"/>
  <c r="L98" i="8"/>
  <c r="I98" i="8"/>
  <c r="F98" i="8"/>
  <c r="L97" i="8"/>
  <c r="I97" i="8"/>
  <c r="F97" i="8"/>
  <c r="L96" i="8"/>
  <c r="I96" i="8"/>
  <c r="F96" i="8"/>
  <c r="L95" i="8"/>
  <c r="I95" i="8"/>
  <c r="F95" i="8"/>
  <c r="L94" i="8"/>
  <c r="I94" i="8"/>
  <c r="F94" i="8"/>
  <c r="L93" i="8"/>
  <c r="I93" i="8"/>
  <c r="F93" i="8"/>
  <c r="L92" i="8"/>
  <c r="I92" i="8"/>
  <c r="F92" i="8"/>
  <c r="L91" i="8"/>
  <c r="I91" i="8"/>
  <c r="F91" i="8"/>
  <c r="L90" i="8"/>
  <c r="I90" i="8"/>
  <c r="F90" i="8"/>
  <c r="L89" i="8"/>
  <c r="I89" i="8"/>
  <c r="F89" i="8"/>
  <c r="L88" i="8"/>
  <c r="I88" i="8"/>
  <c r="F88" i="8"/>
  <c r="L87" i="8"/>
  <c r="I87" i="8"/>
  <c r="F87" i="8"/>
  <c r="L86" i="8"/>
  <c r="I86" i="8"/>
  <c r="F86" i="8"/>
  <c r="L85" i="8"/>
  <c r="I85" i="8"/>
  <c r="F85" i="8"/>
  <c r="L84" i="8"/>
  <c r="I84" i="8"/>
  <c r="F84" i="8"/>
  <c r="L83" i="8"/>
  <c r="I83" i="8"/>
  <c r="F83" i="8"/>
  <c r="L82" i="8"/>
  <c r="I82" i="8"/>
  <c r="F82" i="8"/>
  <c r="L81" i="8"/>
  <c r="I81" i="8"/>
  <c r="F81" i="8"/>
  <c r="L80" i="8"/>
  <c r="I80" i="8"/>
  <c r="F80" i="8"/>
  <c r="L79" i="8"/>
  <c r="I79" i="8"/>
  <c r="F79" i="8"/>
  <c r="L78" i="8"/>
  <c r="I78" i="8"/>
  <c r="F78" i="8"/>
  <c r="L77" i="8"/>
  <c r="I77" i="8"/>
  <c r="F77" i="8"/>
  <c r="L76" i="8"/>
  <c r="I76" i="8"/>
  <c r="F76" i="8"/>
  <c r="L75" i="8"/>
  <c r="I75" i="8"/>
  <c r="F75" i="8"/>
  <c r="L74" i="8"/>
  <c r="I74" i="8"/>
  <c r="F74" i="8"/>
  <c r="L73" i="8"/>
  <c r="I73" i="8"/>
  <c r="F73" i="8"/>
  <c r="L72" i="8"/>
  <c r="I72" i="8"/>
  <c r="F72" i="8"/>
  <c r="L71" i="8"/>
  <c r="I71" i="8"/>
  <c r="F71" i="8"/>
  <c r="L70" i="8"/>
  <c r="I70" i="8"/>
  <c r="F70" i="8"/>
  <c r="L69" i="8"/>
  <c r="I69" i="8"/>
  <c r="F69" i="8"/>
  <c r="L68" i="8"/>
  <c r="I68" i="8"/>
  <c r="F68" i="8"/>
  <c r="L67" i="8"/>
  <c r="I67" i="8"/>
  <c r="F67" i="8"/>
  <c r="L66" i="8"/>
  <c r="I66" i="8"/>
  <c r="F66" i="8"/>
  <c r="L65" i="8"/>
  <c r="I65" i="8"/>
  <c r="F65" i="8"/>
  <c r="L64" i="8"/>
  <c r="I64" i="8"/>
  <c r="F64" i="8"/>
  <c r="L63" i="8"/>
  <c r="I63" i="8"/>
  <c r="F63" i="8"/>
  <c r="L62" i="8"/>
  <c r="I62" i="8"/>
  <c r="F62" i="8"/>
  <c r="L61" i="8"/>
  <c r="I61" i="8"/>
  <c r="F61" i="8"/>
  <c r="L60" i="8"/>
  <c r="I60" i="8"/>
  <c r="F60" i="8"/>
  <c r="L59" i="8"/>
  <c r="I59" i="8"/>
  <c r="F59" i="8"/>
  <c r="L58" i="8"/>
  <c r="I58" i="8"/>
  <c r="F58" i="8"/>
  <c r="L57" i="8"/>
  <c r="I57" i="8"/>
  <c r="F57" i="8"/>
  <c r="L56" i="8"/>
  <c r="I56" i="8"/>
  <c r="F56" i="8"/>
  <c r="L55" i="8"/>
  <c r="I55" i="8"/>
  <c r="F55" i="8"/>
  <c r="L54" i="8"/>
  <c r="I54" i="8"/>
  <c r="F54" i="8"/>
  <c r="L53" i="8"/>
  <c r="I53" i="8"/>
  <c r="F53" i="8"/>
  <c r="L52" i="8"/>
  <c r="I52" i="8"/>
  <c r="F52" i="8"/>
  <c r="L51" i="8"/>
  <c r="I51" i="8"/>
  <c r="F51" i="8"/>
  <c r="L50" i="8"/>
  <c r="I50" i="8"/>
  <c r="F50" i="8"/>
  <c r="L49" i="8"/>
  <c r="I49" i="8"/>
  <c r="F49" i="8"/>
  <c r="L48" i="8"/>
  <c r="I48" i="8"/>
  <c r="F48" i="8"/>
  <c r="L47" i="8"/>
  <c r="I47" i="8"/>
  <c r="F47" i="8"/>
  <c r="L46" i="8"/>
  <c r="I46" i="8"/>
  <c r="F46" i="8"/>
  <c r="L45" i="8"/>
  <c r="I45" i="8"/>
  <c r="F45" i="8"/>
  <c r="L44" i="8"/>
  <c r="I44" i="8"/>
  <c r="F44" i="8"/>
  <c r="L43" i="8"/>
  <c r="I43" i="8"/>
  <c r="F43" i="8"/>
  <c r="L42" i="8"/>
  <c r="I42" i="8"/>
  <c r="F42" i="8"/>
  <c r="L41" i="8"/>
  <c r="I41" i="8"/>
  <c r="F41" i="8"/>
  <c r="L40" i="8"/>
  <c r="I40" i="8"/>
  <c r="F40" i="8"/>
  <c r="L39" i="8"/>
  <c r="I39" i="8"/>
  <c r="F39" i="8"/>
  <c r="L38" i="8"/>
  <c r="I38" i="8"/>
  <c r="F38" i="8"/>
  <c r="L37" i="8"/>
  <c r="I37" i="8"/>
  <c r="F37" i="8"/>
  <c r="L36" i="8"/>
  <c r="I36" i="8"/>
  <c r="F36" i="8"/>
  <c r="L35" i="8"/>
  <c r="I35" i="8"/>
  <c r="F35" i="8"/>
  <c r="L34" i="8"/>
  <c r="I34" i="8"/>
  <c r="F34" i="8"/>
  <c r="L33" i="8"/>
  <c r="I33" i="8"/>
  <c r="F33" i="8"/>
  <c r="L32" i="8"/>
  <c r="I32" i="8"/>
  <c r="F32" i="8"/>
  <c r="L31" i="8"/>
  <c r="I31" i="8"/>
  <c r="F31" i="8"/>
  <c r="L30" i="8"/>
  <c r="I30" i="8"/>
  <c r="F30" i="8"/>
  <c r="L29" i="8"/>
  <c r="I29" i="8"/>
  <c r="F29" i="8"/>
  <c r="L28" i="8"/>
  <c r="I28" i="8"/>
  <c r="F28" i="8"/>
  <c r="L27" i="8"/>
  <c r="I27" i="8"/>
  <c r="F27" i="8"/>
  <c r="L26" i="8"/>
  <c r="I26" i="8"/>
  <c r="F26" i="8"/>
  <c r="L25" i="8"/>
  <c r="I25" i="8"/>
  <c r="F25" i="8"/>
  <c r="L24" i="8"/>
  <c r="I24" i="8"/>
  <c r="F24" i="8"/>
  <c r="L23" i="8"/>
  <c r="I23" i="8"/>
  <c r="F23" i="8"/>
  <c r="L22" i="8"/>
  <c r="I22" i="8"/>
  <c r="F22" i="8"/>
  <c r="L21" i="8"/>
  <c r="I21" i="8"/>
  <c r="F21" i="8"/>
  <c r="L20" i="8"/>
  <c r="I20" i="8"/>
  <c r="F20" i="8"/>
  <c r="L19" i="8"/>
  <c r="I19" i="8"/>
  <c r="F19" i="8"/>
  <c r="L18" i="8"/>
  <c r="I18" i="8"/>
  <c r="F18" i="8"/>
  <c r="L17" i="8"/>
  <c r="I17" i="8"/>
  <c r="F17" i="8"/>
  <c r="L16" i="8"/>
  <c r="I16" i="8"/>
  <c r="F16" i="8"/>
  <c r="L15" i="8"/>
  <c r="I15" i="8"/>
  <c r="F15" i="8"/>
  <c r="L14" i="8"/>
  <c r="I14" i="8"/>
  <c r="F14" i="8"/>
  <c r="L13" i="8"/>
  <c r="I13" i="8"/>
  <c r="F13" i="8"/>
  <c r="L12" i="8"/>
  <c r="I12" i="8"/>
  <c r="F12" i="8"/>
  <c r="L11" i="8"/>
  <c r="I11" i="8"/>
  <c r="F11" i="8"/>
  <c r="L10" i="8"/>
  <c r="I10" i="8"/>
  <c r="F10" i="8"/>
  <c r="L9" i="8"/>
  <c r="I9" i="8"/>
  <c r="F9" i="8"/>
  <c r="L8" i="8"/>
  <c r="I8" i="8"/>
  <c r="F8" i="8"/>
  <c r="L7" i="8"/>
  <c r="I7" i="8"/>
  <c r="F7" i="8"/>
  <c r="L6" i="8"/>
  <c r="I6" i="8"/>
  <c r="F6" i="8"/>
  <c r="L5" i="8"/>
  <c r="I5" i="8"/>
  <c r="F5" i="8"/>
  <c r="L4" i="8"/>
  <c r="I4" i="8"/>
  <c r="F4" i="8"/>
  <c r="L3" i="8"/>
  <c r="I3" i="8"/>
  <c r="F3" i="8"/>
  <c r="L2" i="8"/>
  <c r="I2" i="8"/>
  <c r="F2" i="8"/>
  <c r="J9" i="6" l="1"/>
  <c r="G3" i="6"/>
  <c r="F238" i="1"/>
  <c r="D5" i="6" s="1"/>
  <c r="I229" i="4"/>
  <c r="B12" i="6"/>
  <c r="I197" i="11"/>
  <c r="L197" i="11"/>
  <c r="C11" i="6"/>
  <c r="H10" i="6"/>
  <c r="G4" i="6"/>
  <c r="L263" i="8"/>
  <c r="H4" i="6"/>
  <c r="F263" i="8"/>
  <c r="D4" i="6" s="1"/>
  <c r="I263" i="8"/>
  <c r="I238" i="2"/>
  <c r="C6" i="6"/>
  <c r="L238" i="2"/>
  <c r="E6" i="6"/>
  <c r="J6" i="6"/>
  <c r="L232" i="3"/>
  <c r="G10" i="6"/>
  <c r="C10" i="6"/>
  <c r="I232" i="3"/>
  <c r="J12" i="6"/>
  <c r="L229" i="4"/>
  <c r="E12" i="6"/>
  <c r="G12" i="6"/>
  <c r="E5" i="6"/>
  <c r="I238" i="1"/>
  <c r="H5" i="6"/>
  <c r="L238" i="1"/>
  <c r="F232" i="5"/>
  <c r="D8" i="6" s="1"/>
  <c r="G8" i="6"/>
  <c r="H8" i="6"/>
  <c r="I232" i="5"/>
  <c r="J8" i="6"/>
  <c r="H3" i="6"/>
  <c r="L238" i="10"/>
  <c r="C3" i="6"/>
  <c r="E3" i="6"/>
  <c r="I238" i="10"/>
  <c r="I244" i="12"/>
  <c r="J11" i="6"/>
  <c r="L244" i="12"/>
  <c r="E11" i="6"/>
  <c r="E7" i="6"/>
  <c r="F197" i="11"/>
  <c r="D7" i="6" s="1"/>
  <c r="H7" i="6"/>
  <c r="L23" i="6"/>
  <c r="L15" i="6"/>
  <c r="L20" i="6"/>
  <c r="L17" i="6"/>
  <c r="L21" i="6"/>
  <c r="L22" i="6"/>
  <c r="L19" i="6"/>
  <c r="L24" i="6"/>
  <c r="L16" i="6"/>
  <c r="L18" i="6"/>
  <c r="M20" i="6"/>
  <c r="M17" i="6"/>
  <c r="M22" i="6"/>
  <c r="M19" i="6"/>
  <c r="M24" i="6"/>
  <c r="M16" i="6"/>
  <c r="M21" i="6"/>
  <c r="M18" i="6"/>
  <c r="M23" i="6"/>
  <c r="M15" i="6"/>
  <c r="D22" i="6"/>
  <c r="D19" i="6"/>
  <c r="D24" i="6"/>
  <c r="D16" i="6"/>
  <c r="D21" i="6"/>
  <c r="D18" i="6"/>
  <c r="D23" i="6"/>
  <c r="D15" i="6"/>
  <c r="D17" i="6"/>
  <c r="D20" i="6"/>
  <c r="N17" i="6"/>
  <c r="N22" i="6"/>
  <c r="N23" i="6"/>
  <c r="N19" i="6"/>
  <c r="N24" i="6"/>
  <c r="N16" i="6"/>
  <c r="N21" i="6"/>
  <c r="N18" i="6"/>
  <c r="N15" i="6"/>
  <c r="N20" i="6"/>
  <c r="G23" i="6"/>
  <c r="O22" i="6"/>
  <c r="O20" i="6"/>
  <c r="O19" i="6"/>
  <c r="O24" i="6"/>
  <c r="O16" i="6"/>
  <c r="O21" i="6"/>
  <c r="O18" i="6"/>
  <c r="O23" i="6"/>
  <c r="O15" i="6"/>
  <c r="O17" i="6"/>
  <c r="P19" i="6"/>
  <c r="P24" i="6"/>
  <c r="P16" i="6"/>
  <c r="P21" i="6"/>
  <c r="P18" i="6"/>
  <c r="P23" i="6"/>
  <c r="P15" i="6"/>
  <c r="P20" i="6"/>
  <c r="P22" i="6"/>
  <c r="P17" i="6"/>
  <c r="K18" i="6"/>
  <c r="K23" i="6"/>
  <c r="K15" i="6"/>
  <c r="K20" i="6"/>
  <c r="K16" i="6"/>
  <c r="K17" i="6"/>
  <c r="K22" i="6"/>
  <c r="K19" i="6"/>
  <c r="K24" i="6"/>
  <c r="K21" i="6"/>
  <c r="H9" i="6"/>
  <c r="L258" i="9"/>
  <c r="C9" i="6"/>
  <c r="E9" i="6"/>
  <c r="I258" i="9"/>
  <c r="J15" i="6" l="1"/>
  <c r="J23" i="6"/>
  <c r="J18" i="6"/>
  <c r="J16" i="6"/>
  <c r="J24" i="6"/>
  <c r="J21" i="6"/>
  <c r="J22" i="6"/>
  <c r="J17" i="6"/>
  <c r="J20" i="6"/>
  <c r="J19" i="6"/>
  <c r="G15" i="6"/>
  <c r="G18" i="6"/>
  <c r="G21" i="6"/>
  <c r="G19" i="6"/>
  <c r="G16" i="6"/>
  <c r="G17" i="6"/>
  <c r="G24" i="6"/>
  <c r="G20" i="6"/>
  <c r="G22" i="6"/>
  <c r="E19" i="6"/>
  <c r="E24" i="6"/>
  <c r="E16" i="6"/>
  <c r="E17" i="6"/>
  <c r="E21" i="6"/>
  <c r="E18" i="6"/>
  <c r="E23" i="6"/>
  <c r="E15" i="6"/>
  <c r="Q15" i="6" s="1"/>
  <c r="E20" i="6"/>
  <c r="Q20" i="6" s="1"/>
  <c r="E22" i="6"/>
  <c r="Q16" i="6" l="1"/>
  <c r="Q22" i="6"/>
  <c r="Q23" i="6"/>
  <c r="Q19" i="6"/>
  <c r="Q17" i="6"/>
  <c r="Q24" i="6"/>
  <c r="Q21" i="6"/>
  <c r="Q18" i="6"/>
</calcChain>
</file>

<file path=xl/sharedStrings.xml><?xml version="1.0" encoding="utf-8"?>
<sst xmlns="http://schemas.openxmlformats.org/spreadsheetml/2006/main" count="2566" uniqueCount="165">
  <si>
    <t>Date</t>
  </si>
  <si>
    <t>Player</t>
  </si>
  <si>
    <t>FGM</t>
  </si>
  <si>
    <t>FGA</t>
  </si>
  <si>
    <t>FG%</t>
  </si>
  <si>
    <t>3-PT FGM</t>
  </si>
  <si>
    <t>3-PT FGA</t>
  </si>
  <si>
    <t>3-PT%</t>
  </si>
  <si>
    <t>FTM</t>
  </si>
  <si>
    <t>FTA</t>
  </si>
  <si>
    <t>FT%</t>
  </si>
  <si>
    <t>REB</t>
  </si>
  <si>
    <t>AST</t>
  </si>
  <si>
    <t>PTS</t>
  </si>
  <si>
    <t>BLK</t>
  </si>
  <si>
    <t>STL</t>
  </si>
  <si>
    <t>TO</t>
  </si>
  <si>
    <t>Total</t>
  </si>
  <si>
    <t>Name</t>
  </si>
  <si>
    <t xml:space="preserve"> </t>
  </si>
  <si>
    <t>TOT</t>
  </si>
  <si>
    <t>myrtle</t>
  </si>
  <si>
    <t>idchafee</t>
  </si>
  <si>
    <t>jlight</t>
  </si>
  <si>
    <t>jspoon</t>
  </si>
  <si>
    <t>hangtyme</t>
  </si>
  <si>
    <t>lumes</t>
  </si>
  <si>
    <t>tbinta</t>
  </si>
  <si>
    <t>lynxmania</t>
  </si>
  <si>
    <t>M. Moore</t>
  </si>
  <si>
    <t>S. Johnson</t>
  </si>
  <si>
    <t>E. Larkins</t>
  </si>
  <si>
    <t>J. Appel</t>
  </si>
  <si>
    <t>J. Perkins</t>
  </si>
  <si>
    <t>L. Mitchell</t>
  </si>
  <si>
    <t>K. Christmas</t>
  </si>
  <si>
    <t>C. Pondexter</t>
  </si>
  <si>
    <t>C. Parker</t>
  </si>
  <si>
    <t>R. Brunson</t>
  </si>
  <si>
    <t>S. Schimmel</t>
  </si>
  <si>
    <t>S. Dolson</t>
  </si>
  <si>
    <t>O. Sims</t>
  </si>
  <si>
    <t>C. Paris</t>
  </si>
  <si>
    <t>M. Coleman</t>
  </si>
  <si>
    <t>D. Robinson</t>
  </si>
  <si>
    <t>M. Currie</t>
  </si>
  <si>
    <t>A. Thomas</t>
  </si>
  <si>
    <t>C. Gray</t>
  </si>
  <si>
    <t>E. Carson</t>
  </si>
  <si>
    <t>T. Charles</t>
  </si>
  <si>
    <t>T. Hayes</t>
  </si>
  <si>
    <t>N. Howard</t>
  </si>
  <si>
    <t>S. Diggins</t>
  </si>
  <si>
    <t>S. Lyttle</t>
  </si>
  <si>
    <t>T. Hill</t>
  </si>
  <si>
    <t>C. Little</t>
  </si>
  <si>
    <t>C. Vandersloot</t>
  </si>
  <si>
    <t>S. Young#Malcolm</t>
  </si>
  <si>
    <t>E. Meesseman</t>
  </si>
  <si>
    <t>L. Whalen</t>
  </si>
  <si>
    <t>D. Dantas</t>
  </si>
  <si>
    <t>J. Pohlen</t>
  </si>
  <si>
    <t>C. Wiggins</t>
  </si>
  <si>
    <t>A. Bentley</t>
  </si>
  <si>
    <t>I. Latta</t>
  </si>
  <si>
    <t>A. Henry</t>
  </si>
  <si>
    <t>K. Stokes</t>
  </si>
  <si>
    <t>J. Breland</t>
  </si>
  <si>
    <t>K. McBride</t>
  </si>
  <si>
    <t>E. de Souza</t>
  </si>
  <si>
    <t>S. Augustus</t>
  </si>
  <si>
    <t>C. Dupree</t>
  </si>
  <si>
    <t>D. Adams</t>
  </si>
  <si>
    <t>A. Quigley</t>
  </si>
  <si>
    <t>A. McCoughtry</t>
  </si>
  <si>
    <t>K. Bone</t>
  </si>
  <si>
    <t>D. Bonner</t>
  </si>
  <si>
    <t>B. January</t>
  </si>
  <si>
    <t>T. Young</t>
  </si>
  <si>
    <t>E. Delle Donne</t>
  </si>
  <si>
    <t>P. Pierson</t>
  </si>
  <si>
    <t>A. Zahui B.</t>
  </si>
  <si>
    <t>D. Hamby</t>
  </si>
  <si>
    <t>T. Liston</t>
  </si>
  <si>
    <t>E. Phillips</t>
  </si>
  <si>
    <t>J. O'Hea</t>
  </si>
  <si>
    <t>J. Loyd</t>
  </si>
  <si>
    <t>A. Bishop</t>
  </si>
  <si>
    <t>R. Tokashiki</t>
  </si>
  <si>
    <t>J. Lavender</t>
  </si>
  <si>
    <t>T. Wright</t>
  </si>
  <si>
    <t>A. Beard</t>
  </si>
  <si>
    <t>C. Langhorne</t>
  </si>
  <si>
    <t>R. Allen</t>
  </si>
  <si>
    <t>K. Mosqueda#Lewis</t>
  </si>
  <si>
    <t>B. Boyd</t>
  </si>
  <si>
    <t>S. Bird</t>
  </si>
  <si>
    <t>N. Achonwa</t>
  </si>
  <si>
    <t>R. Williams</t>
  </si>
  <si>
    <t>K. Lawson</t>
  </si>
  <si>
    <t>C. Swords</t>
  </si>
  <si>
    <t>T. Catchings</t>
  </si>
  <si>
    <t>R. Montgomery</t>
  </si>
  <si>
    <t>C. Francis</t>
  </si>
  <si>
    <t>M. Bass</t>
  </si>
  <si>
    <t>N. Cloud</t>
  </si>
  <si>
    <t>A. Clark</t>
  </si>
  <si>
    <t>S. Zellous</t>
  </si>
  <si>
    <t>A. Jones</t>
  </si>
  <si>
    <t>J. Thomas</t>
  </si>
  <si>
    <t>S. Cash</t>
  </si>
  <si>
    <t>J. Hooper</t>
  </si>
  <si>
    <t>B. Laney</t>
  </si>
  <si>
    <t>M. Tolo</t>
  </si>
  <si>
    <t>K. Mosqueda-Lewis</t>
  </si>
  <si>
    <t>M. Lucas</t>
  </si>
  <si>
    <t>M. Wright</t>
  </si>
  <si>
    <t>T. Johnson</t>
  </si>
  <si>
    <t>N. Ogwumike</t>
  </si>
  <si>
    <t>A. Malott</t>
  </si>
  <si>
    <t>R. Hodges</t>
  </si>
  <si>
    <t>B. Hartley</t>
  </si>
  <si>
    <t>B. Griner</t>
  </si>
  <si>
    <t>T. Rodgers</t>
  </si>
  <si>
    <t>K. Toliver</t>
  </si>
  <si>
    <t>Elena Delle Donne, G</t>
  </si>
  <si>
    <t>Jasmine Thomas, G</t>
  </si>
  <si>
    <t>Betnijah Laney, F</t>
  </si>
  <si>
    <t>Allie Quigley, G</t>
  </si>
  <si>
    <t>Jessica Breland, F</t>
  </si>
  <si>
    <t>S. Colson</t>
  </si>
  <si>
    <t>Alex Bentley, G</t>
  </si>
  <si>
    <t>Camille Little, F</t>
  </si>
  <si>
    <t>Courtney Vandersloot, G</t>
  </si>
  <si>
    <t>B. Kiesel</t>
  </si>
  <si>
    <t>Chelsea Gray, G</t>
  </si>
  <si>
    <t>Alyssa Thomas, F</t>
  </si>
  <si>
    <t>Cappie Pondexter, G</t>
  </si>
  <si>
    <t>M. Ajavon</t>
  </si>
  <si>
    <t>K. Greene</t>
  </si>
  <si>
    <t>E. Prince</t>
  </si>
  <si>
    <t>A. Cruz</t>
  </si>
  <si>
    <t>L. Clarendon</t>
  </si>
  <si>
    <t>L. Kizer</t>
  </si>
  <si>
    <t>C. Burdick</t>
  </si>
  <si>
    <t>cardinal/newkid</t>
  </si>
  <si>
    <t>L. Pringle</t>
  </si>
  <si>
    <t>T. Ruffin#Pratt</t>
  </si>
  <si>
    <t>C. Dos Santos</t>
  </si>
  <si>
    <t>V. Baugh</t>
  </si>
  <si>
    <t>A. Dabovic</t>
  </si>
  <si>
    <t>E. Williams</t>
  </si>
  <si>
    <t>K. Vaughn</t>
  </si>
  <si>
    <t>Colson</t>
  </si>
  <si>
    <t>S. Fowles</t>
  </si>
  <si>
    <t>Shimmel</t>
  </si>
  <si>
    <t>Dabovic</t>
  </si>
  <si>
    <t>R. Gray</t>
  </si>
  <si>
    <t>V. Ayayi</t>
  </si>
  <si>
    <t>S. Stricklen</t>
  </si>
  <si>
    <t>M. Xargay Casademont</t>
  </si>
  <si>
    <t>J. Lacy</t>
  </si>
  <si>
    <t>M. Gatling</t>
  </si>
  <si>
    <t>ghost of soyou</t>
  </si>
  <si>
    <t>FINAL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</si>
</sst>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4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3">
    <xf numFmtId="0" fontId="0" fillId="0" borderId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35" fillId="12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25" fillId="3" borderId="0" applyNumberFormat="0" applyBorder="0" applyAlignment="0" applyProtection="0"/>
    <xf numFmtId="0" fontId="29" fillId="6" borderId="4" applyNumberFormat="0" applyAlignment="0" applyProtection="0"/>
    <xf numFmtId="0" fontId="31" fillId="7" borderId="7" applyNumberFormat="0" applyAlignment="0" applyProtection="0"/>
    <xf numFmtId="0" fontId="3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7" fillId="5" borderId="4" applyNumberFormat="0" applyAlignment="0" applyProtection="0"/>
    <xf numFmtId="0" fontId="30" fillId="0" borderId="6" applyNumberFormat="0" applyFill="0" applyAlignment="0" applyProtection="0"/>
    <xf numFmtId="0" fontId="26" fillId="4" borderId="0" applyNumberFormat="0" applyBorder="0" applyAlignment="0" applyProtection="0"/>
    <xf numFmtId="0" fontId="19" fillId="8" borderId="8" applyNumberFormat="0" applyFont="0" applyAlignment="0" applyProtection="0"/>
    <xf numFmtId="0" fontId="28" fillId="6" borderId="5" applyNumberFormat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27"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/>
    <xf numFmtId="164" fontId="0" fillId="0" borderId="0" xfId="0" applyNumberFormat="1" applyFont="1"/>
    <xf numFmtId="165" fontId="0" fillId="0" borderId="0" xfId="0" applyNumberFormat="1" applyFont="1"/>
    <xf numFmtId="0" fontId="0" fillId="0" borderId="0" xfId="0" applyNumberFormat="1" applyFont="1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36" fillId="0" borderId="0" xfId="0" applyFont="1" applyAlignment="1">
      <alignment horizontal="right"/>
    </xf>
    <xf numFmtId="16" fontId="0" fillId="0" borderId="10" xfId="0" applyNumberFormat="1" applyFill="1" applyBorder="1"/>
    <xf numFmtId="0" fontId="0" fillId="0" borderId="10" xfId="0" applyFill="1" applyBorder="1"/>
    <xf numFmtId="0" fontId="37" fillId="0" borderId="10" xfId="0" applyFont="1" applyFill="1" applyBorder="1" applyAlignment="1">
      <alignment vertical="center" wrapText="1"/>
    </xf>
    <xf numFmtId="164" fontId="18" fillId="0" borderId="10" xfId="0" applyNumberFormat="1" applyFont="1" applyFill="1" applyBorder="1"/>
    <xf numFmtId="164" fontId="38" fillId="0" borderId="10" xfId="0" applyNumberFormat="1" applyFont="1" applyFill="1" applyBorder="1"/>
    <xf numFmtId="164" fontId="38" fillId="0" borderId="10" xfId="0" applyNumberFormat="1" applyFont="1" applyBorder="1"/>
    <xf numFmtId="0" fontId="0" fillId="0" borderId="10" xfId="0" applyBorder="1"/>
    <xf numFmtId="16" fontId="0" fillId="0" borderId="10" xfId="0" applyNumberFormat="1" applyBorder="1"/>
    <xf numFmtId="0" fontId="0" fillId="0" borderId="10" xfId="0" applyFont="1" applyFill="1" applyBorder="1"/>
    <xf numFmtId="0" fontId="0" fillId="0" borderId="10" xfId="0" applyFont="1" applyFill="1" applyBorder="1" applyAlignment="1">
      <alignment vertical="center" wrapText="1"/>
    </xf>
    <xf numFmtId="164" fontId="0" fillId="0" borderId="10" xfId="0" applyNumberFormat="1" applyFont="1" applyFill="1" applyBorder="1"/>
    <xf numFmtId="0" fontId="0" fillId="0" borderId="10" xfId="0" applyNumberFormat="1" applyFont="1" applyFill="1" applyBorder="1" applyAlignment="1">
      <alignment vertical="center" wrapText="1"/>
    </xf>
    <xf numFmtId="16" fontId="0" fillId="0" borderId="10" xfId="0" applyNumberFormat="1" applyFont="1" applyFill="1" applyBorder="1"/>
    <xf numFmtId="164" fontId="17" fillId="0" borderId="10" xfId="0" applyNumberFormat="1" applyFont="1" applyBorder="1"/>
    <xf numFmtId="0" fontId="0" fillId="0" borderId="0" xfId="0" applyFill="1" applyBorder="1"/>
    <xf numFmtId="164" fontId="38" fillId="0" borderId="0" xfId="0" applyNumberFormat="1" applyFont="1" applyFill="1" applyBorder="1"/>
    <xf numFmtId="16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vertical="center" wrapText="1"/>
    </xf>
    <xf numFmtId="16" fontId="0" fillId="0" borderId="0" xfId="0" applyNumberFormat="1" applyFont="1" applyBorder="1"/>
    <xf numFmtId="0" fontId="0" fillId="0" borderId="0" xfId="0" applyFont="1" applyFill="1" applyBorder="1"/>
    <xf numFmtId="164" fontId="0" fillId="0" borderId="0" xfId="0" applyNumberFormat="1" applyFont="1" applyBorder="1"/>
    <xf numFmtId="164" fontId="0" fillId="0" borderId="10" xfId="0" applyNumberFormat="1" applyFont="1" applyBorder="1"/>
    <xf numFmtId="16" fontId="0" fillId="0" borderId="0" xfId="0" applyNumberFormat="1" applyFont="1"/>
    <xf numFmtId="0" fontId="0" fillId="0" borderId="0" xfId="0" applyFill="1"/>
    <xf numFmtId="0" fontId="38" fillId="0" borderId="10" xfId="0" applyFont="1" applyFill="1" applyBorder="1"/>
    <xf numFmtId="0" fontId="39" fillId="0" borderId="10" xfId="0" applyFont="1" applyFill="1" applyBorder="1" applyAlignment="1">
      <alignment vertical="center" wrapText="1"/>
    </xf>
    <xf numFmtId="16" fontId="0" fillId="0" borderId="10" xfId="0" applyNumberFormat="1" applyFont="1" applyBorder="1"/>
    <xf numFmtId="1" fontId="0" fillId="0" borderId="10" xfId="0" applyNumberFormat="1" applyFont="1" applyFill="1" applyBorder="1" applyAlignment="1">
      <alignment vertical="center" wrapText="1"/>
    </xf>
    <xf numFmtId="164" fontId="16" fillId="0" borderId="10" xfId="0" applyNumberFormat="1" applyFont="1" applyBorder="1"/>
    <xf numFmtId="164" fontId="15" fillId="0" borderId="10" xfId="0" applyNumberFormat="1" applyFont="1" applyBorder="1"/>
    <xf numFmtId="0" fontId="0" fillId="0" borderId="10" xfId="0" applyFont="1" applyBorder="1"/>
    <xf numFmtId="0" fontId="36" fillId="0" borderId="10" xfId="0" applyFont="1" applyFill="1" applyBorder="1" applyAlignment="1">
      <alignment horizontal="right" vertical="center" wrapText="1"/>
    </xf>
    <xf numFmtId="164" fontId="15" fillId="0" borderId="10" xfId="0" applyNumberFormat="1" applyFont="1" applyFill="1" applyBorder="1"/>
    <xf numFmtId="0" fontId="36" fillId="0" borderId="10" xfId="0" applyFont="1" applyFill="1" applyBorder="1" applyAlignment="1">
      <alignment vertical="center"/>
    </xf>
    <xf numFmtId="164" fontId="14" fillId="0" borderId="10" xfId="0" applyNumberFormat="1" applyFont="1" applyBorder="1"/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Border="1"/>
    <xf numFmtId="164" fontId="12" fillId="0" borderId="10" xfId="0" applyNumberFormat="1" applyFont="1" applyBorder="1"/>
    <xf numFmtId="0" fontId="37" fillId="0" borderId="11" xfId="0" applyFont="1" applyFill="1" applyBorder="1" applyAlignment="1">
      <alignment vertical="center" wrapText="1"/>
    </xf>
    <xf numFmtId="164" fontId="12" fillId="0" borderId="11" xfId="0" applyNumberFormat="1" applyFont="1" applyBorder="1"/>
    <xf numFmtId="0" fontId="0" fillId="0" borderId="11" xfId="0" applyFill="1" applyBorder="1"/>
    <xf numFmtId="0" fontId="0" fillId="0" borderId="11" xfId="0" applyBorder="1"/>
    <xf numFmtId="16" fontId="0" fillId="0" borderId="11" xfId="0" applyNumberFormat="1" applyBorder="1"/>
    <xf numFmtId="164" fontId="11" fillId="0" borderId="10" xfId="0" applyNumberFormat="1" applyFont="1" applyBorder="1"/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16" fontId="0" fillId="0" borderId="11" xfId="0" applyNumberFormat="1" applyFont="1" applyBorder="1"/>
    <xf numFmtId="0" fontId="0" fillId="0" borderId="11" xfId="0" applyFont="1" applyFill="1" applyBorder="1"/>
    <xf numFmtId="0" fontId="0" fillId="0" borderId="11" xfId="0" applyFont="1" applyFill="1" applyBorder="1" applyAlignment="1">
      <alignment vertical="center" wrapText="1"/>
    </xf>
    <xf numFmtId="164" fontId="0" fillId="0" borderId="11" xfId="0" applyNumberFormat="1" applyFont="1" applyBorder="1"/>
    <xf numFmtId="0" fontId="0" fillId="0" borderId="11" xfId="0" applyNumberFormat="1" applyFont="1" applyFill="1" applyBorder="1" applyAlignment="1">
      <alignment vertical="center" wrapText="1"/>
    </xf>
    <xf numFmtId="164" fontId="10" fillId="0" borderId="10" xfId="0" applyNumberFormat="1" applyFont="1" applyBorder="1"/>
    <xf numFmtId="16" fontId="0" fillId="0" borderId="10" xfId="0" applyNumberFormat="1" applyFill="1" applyBorder="1" applyAlignment="1">
      <alignment vertical="center"/>
    </xf>
    <xf numFmtId="16" fontId="0" fillId="0" borderId="10" xfId="0" applyNumberFormat="1" applyFont="1" applyFill="1" applyBorder="1" applyAlignment="1">
      <alignment vertical="center"/>
    </xf>
    <xf numFmtId="16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9" fillId="0" borderId="10" xfId="0" applyNumberFormat="1" applyFont="1" applyBorder="1"/>
    <xf numFmtId="164" fontId="8" fillId="0" borderId="10" xfId="0" applyNumberFormat="1" applyFont="1" applyBorder="1"/>
    <xf numFmtId="16" fontId="0" fillId="0" borderId="10" xfId="0" applyNumberFormat="1" applyFont="1" applyBorder="1" applyAlignment="1">
      <alignment vertical="center"/>
    </xf>
    <xf numFmtId="164" fontId="7" fillId="0" borderId="11" xfId="0" applyNumberFormat="1" applyFont="1" applyBorder="1"/>
    <xf numFmtId="16" fontId="0" fillId="0" borderId="11" xfId="0" applyNumberFormat="1" applyFill="1" applyBorder="1" applyAlignment="1">
      <alignment vertical="center"/>
    </xf>
    <xf numFmtId="0" fontId="38" fillId="0" borderId="10" xfId="42" applyFont="1" applyFill="1" applyBorder="1" applyAlignment="1">
      <alignment vertical="center" wrapText="1"/>
    </xf>
    <xf numFmtId="0" fontId="38" fillId="0" borderId="10" xfId="42" applyFont="1" applyFill="1" applyBorder="1" applyAlignment="1">
      <alignment vertical="center"/>
    </xf>
    <xf numFmtId="16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7" fillId="0" borderId="10" xfId="0" applyFont="1" applyFill="1" applyBorder="1" applyAlignment="1">
      <alignment horizontal="right" vertical="center" wrapText="1"/>
    </xf>
    <xf numFmtId="164" fontId="0" fillId="0" borderId="1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16" fontId="0" fillId="0" borderId="0" xfId="0" applyNumberFormat="1" applyFont="1" applyAlignment="1">
      <alignment horizontal="left"/>
    </xf>
    <xf numFmtId="16" fontId="0" fillId="0" borderId="10" xfId="0" applyNumberFormat="1" applyFont="1" applyFill="1" applyBorder="1" applyAlignment="1">
      <alignment horizontal="left"/>
    </xf>
    <xf numFmtId="0" fontId="38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38" fillId="0" borderId="10" xfId="42" applyFont="1" applyFill="1" applyBorder="1" applyAlignment="1">
      <alignment horizontal="left" vertical="center"/>
    </xf>
    <xf numFmtId="0" fontId="38" fillId="0" borderId="10" xfId="42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164" fontId="6" fillId="0" borderId="11" xfId="0" applyNumberFormat="1" applyFont="1" applyBorder="1" applyAlignment="1">
      <alignment horizontal="right"/>
    </xf>
    <xf numFmtId="16" fontId="0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 horizontal="right"/>
    </xf>
    <xf numFmtId="0" fontId="37" fillId="33" borderId="10" xfId="0" applyFont="1" applyFill="1" applyBorder="1" applyAlignment="1">
      <alignment vertical="center" wrapText="1"/>
    </xf>
    <xf numFmtId="164" fontId="4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" fontId="41" fillId="0" borderId="10" xfId="0" applyNumberFormat="1" applyFont="1" applyBorder="1"/>
    <xf numFmtId="0" fontId="41" fillId="0" borderId="10" xfId="0" applyFont="1" applyFill="1" applyBorder="1"/>
    <xf numFmtId="0" fontId="41" fillId="0" borderId="10" xfId="0" applyFont="1" applyFill="1" applyBorder="1" applyAlignment="1">
      <alignment vertical="center" wrapText="1"/>
    </xf>
    <xf numFmtId="164" fontId="41" fillId="0" borderId="10" xfId="0" applyNumberFormat="1" applyFont="1" applyBorder="1"/>
    <xf numFmtId="0" fontId="41" fillId="0" borderId="10" xfId="0" applyNumberFormat="1" applyFont="1" applyFill="1" applyBorder="1" applyAlignment="1">
      <alignment vertical="center" wrapText="1"/>
    </xf>
    <xf numFmtId="16" fontId="41" fillId="0" borderId="10" xfId="0" applyNumberFormat="1" applyFont="1" applyFill="1" applyBorder="1"/>
    <xf numFmtId="164" fontId="41" fillId="0" borderId="10" xfId="0" applyNumberFormat="1" applyFont="1" applyFill="1" applyBorder="1"/>
    <xf numFmtId="164" fontId="2" fillId="0" borderId="10" xfId="0" applyNumberFormat="1" applyFont="1" applyBorder="1" applyAlignment="1">
      <alignment horizontal="right"/>
    </xf>
    <xf numFmtId="16" fontId="42" fillId="0" borderId="10" xfId="0" applyNumberFormat="1" applyFont="1" applyFill="1" applyBorder="1"/>
    <xf numFmtId="0" fontId="42" fillId="0" borderId="10" xfId="0" applyFont="1" applyFill="1" applyBorder="1"/>
    <xf numFmtId="0" fontId="42" fillId="0" borderId="10" xfId="0" applyFont="1" applyFill="1" applyBorder="1" applyAlignment="1">
      <alignment vertical="center" wrapText="1"/>
    </xf>
    <xf numFmtId="164" fontId="42" fillId="0" borderId="10" xfId="0" applyNumberFormat="1" applyFont="1" applyFill="1" applyBorder="1"/>
    <xf numFmtId="164" fontId="42" fillId="0" borderId="10" xfId="0" applyNumberFormat="1" applyFont="1" applyBorder="1"/>
    <xf numFmtId="0" fontId="42" fillId="0" borderId="10" xfId="0" applyNumberFormat="1" applyFont="1" applyFill="1" applyBorder="1" applyAlignment="1">
      <alignment vertical="center" wrapText="1"/>
    </xf>
    <xf numFmtId="0" fontId="42" fillId="0" borderId="0" xfId="0" applyFont="1"/>
    <xf numFmtId="16" fontId="42" fillId="0" borderId="10" xfId="0" applyNumberFormat="1" applyFont="1" applyBorder="1"/>
    <xf numFmtId="1" fontId="42" fillId="0" borderId="10" xfId="0" applyNumberFormat="1" applyFont="1" applyFill="1" applyBorder="1" applyAlignment="1">
      <alignment vertical="center" wrapText="1"/>
    </xf>
    <xf numFmtId="16" fontId="42" fillId="0" borderId="0" xfId="0" applyNumberFormat="1" applyFont="1" applyAlignment="1">
      <alignment horizontal="left"/>
    </xf>
    <xf numFmtId="16" fontId="42" fillId="0" borderId="10" xfId="0" applyNumberFormat="1" applyFont="1" applyFill="1" applyBorder="1" applyAlignment="1">
      <alignment horizontal="left"/>
    </xf>
    <xf numFmtId="164" fontId="1" fillId="0" borderId="10" xfId="0" applyNumberFormat="1" applyFont="1" applyBorder="1" applyAlignment="1">
      <alignment horizontal="right"/>
    </xf>
    <xf numFmtId="1" fontId="0" fillId="0" borderId="0" xfId="0" applyNumberFormat="1" applyFont="1"/>
    <xf numFmtId="0" fontId="0" fillId="0" borderId="10" xfId="42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0" fillId="0" borderId="0" xfId="42" applyAlignment="1">
      <alignment wrapText="1"/>
    </xf>
    <xf numFmtId="0" fontId="40" fillId="0" borderId="0" xfId="42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numFmt numFmtId="21" formatCode="d\-mmm"/>
    </dxf>
    <dxf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1" formatCode="d\-mmm"/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1" formatCode="d\-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myrtleStats" displayName="myrtleStats" ref="A1:R263" totalsRowCount="1" headerRowDxfId="376" dataDxfId="375">
  <autoFilter ref="A1:R262"/>
  <tableColumns count="18">
    <tableColumn id="1" name="Date" totalsRowLabel="Total" dataDxfId="374" totalsRowDxfId="373"/>
    <tableColumn id="2" name=" " dataDxfId="372" totalsRowDxfId="371"/>
    <tableColumn id="3" name="Player" dataDxfId="370" totalsRowDxfId="369"/>
    <tableColumn id="4" name="FGM" totalsRowFunction="sum" dataDxfId="368" totalsRowDxfId="367"/>
    <tableColumn id="5" name="FGA" totalsRowFunction="sum" dataDxfId="366" totalsRowDxfId="365"/>
    <tableColumn id="6" name="FG%" totalsRowFunction="custom" dataDxfId="364" totalsRowDxfId="363">
      <calculatedColumnFormula>IF(E2=0,0,D2/E2)</calculatedColumnFormula>
      <totalsRowFormula>myrtleStats[[#Totals],[FGM]]/myrtleStats[[#Totals],[FGA]]</totalsRowFormula>
    </tableColumn>
    <tableColumn id="7" name="3-PT FGM" totalsRowFunction="sum" dataDxfId="362" totalsRowDxfId="361"/>
    <tableColumn id="8" name="3-PT FGA" totalsRowFunction="sum" dataDxfId="360" totalsRowDxfId="359"/>
    <tableColumn id="9" name="3-PT%" totalsRowFunction="custom" dataDxfId="358" totalsRowDxfId="357">
      <calculatedColumnFormula>IF(H2=0,0,G2/H2)</calculatedColumnFormula>
      <totalsRowFormula>myrtleStats[[#Totals],[3-PT FGM]]/myrtleStats[[#Totals],[3-PT FGA]]</totalsRowFormula>
    </tableColumn>
    <tableColumn id="10" name="FTM" totalsRowFunction="sum" dataDxfId="356" totalsRowDxfId="355"/>
    <tableColumn id="11" name="FTA" totalsRowFunction="sum" dataDxfId="354" totalsRowDxfId="353"/>
    <tableColumn id="12" name="FT%" totalsRowFunction="custom" dataDxfId="352" totalsRowDxfId="351">
      <calculatedColumnFormula>IF(K2=0,0,J2/K2)</calculatedColumnFormula>
      <totalsRowFormula>myrtleStats[[#Totals],[FTM]]/myrtleStats[[#Totals],[FTA]]</totalsRowFormula>
    </tableColumn>
    <tableColumn id="13" name="REB" totalsRowFunction="sum" dataDxfId="350" totalsRowDxfId="349"/>
    <tableColumn id="16" name="AST" totalsRowFunction="sum" dataDxfId="348" totalsRowDxfId="347"/>
    <tableColumn id="19" name="STL" totalsRowFunction="sum" dataDxfId="346" totalsRowDxfId="345"/>
    <tableColumn id="17" name="TO" totalsRowFunction="sum" dataDxfId="344" totalsRowDxfId="343"/>
    <tableColumn id="18" name="BLK" totalsRowFunction="sum" dataDxfId="342" totalsRowDxfId="341"/>
    <tableColumn id="20" name="PTS" totalsRowFunction="sum" dataDxfId="340" totalsRowDxfId="339">
      <calculatedColumnFormula>myrtleStats[[#This Row],[FTM]]+myrtleStats[[#This Row],[3-PT FGM]]+2*myrtleStats[[#This Row],[FGM]]</calculatedColumnFormula>
    </tableColumn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7" name="davisballer3Stats" displayName="davisballer3Stats" ref="A1:R258" totalsRowCount="1" headerRowDxfId="38" dataDxfId="37" totalsRowDxfId="36">
  <autoFilter ref="A1:R257"/>
  <tableColumns count="18">
    <tableColumn id="1" name="Date" totalsRowLabel="Total" dataDxfId="35" totalsRowDxfId="34"/>
    <tableColumn id="2" name=" " dataDxfId="33" totalsRowDxfId="32"/>
    <tableColumn id="3" name="Player" dataDxfId="31" totalsRowDxfId="30"/>
    <tableColumn id="4" name="FGM" totalsRowFunction="sum" dataDxfId="29" totalsRowDxfId="28"/>
    <tableColumn id="5" name="FGA" totalsRowFunction="sum" dataDxfId="27" totalsRowDxfId="26"/>
    <tableColumn id="6" name="FG%" totalsRowFunction="custom" dataDxfId="25" totalsRowDxfId="24">
      <calculatedColumnFormula>IF(E2=0,0,D2/E2)</calculatedColumnFormula>
      <totalsRowFormula>davisballer3Stats[[#Totals],[FGM]]/davisballer3Stats[[#Totals],[FGA]]</totalsRowFormula>
    </tableColumn>
    <tableColumn id="7" name="3-PT FGM" totalsRowFunction="sum" dataDxfId="23" totalsRowDxfId="22"/>
    <tableColumn id="8" name="3-PT FGA" totalsRowFunction="sum" dataDxfId="21" totalsRowDxfId="20"/>
    <tableColumn id="9" name="3-PT%" totalsRowFunction="custom" dataDxfId="19" totalsRowDxfId="18">
      <calculatedColumnFormula>IF(H2=0,0,G2/H2)</calculatedColumnFormula>
      <totalsRowFormula>davisballer3Stats[[#Totals],[3-PT FGM]]/davisballer3Stats[[#Totals],[3-PT FGA]]</totalsRowFormula>
    </tableColumn>
    <tableColumn id="10" name="FTM" totalsRowFunction="sum" dataDxfId="17" totalsRowDxfId="16"/>
    <tableColumn id="11" name="FTA" totalsRowFunction="sum" dataDxfId="15" totalsRowDxfId="14"/>
    <tableColumn id="12" name="FT%" totalsRowFunction="custom" dataDxfId="13" totalsRowDxfId="12">
      <calculatedColumnFormula>IF(K2=0,0,J2/K2)</calculatedColumnFormula>
      <totalsRowFormula>davisballer3Stats[[#Totals],[FTM]]/davisballer3Stats[[#Totals],[FTA]]</totalsRowFormula>
    </tableColumn>
    <tableColumn id="13" name="REB" totalsRowFunction="sum" dataDxfId="11" totalsRowDxfId="10"/>
    <tableColumn id="16" name="AST" totalsRowFunction="sum" dataDxfId="9" totalsRowDxfId="8"/>
    <tableColumn id="19" name="STL" totalsRowFunction="sum" dataDxfId="7" totalsRowDxfId="6"/>
    <tableColumn id="17" name="TO" totalsRowFunction="sum" dataDxfId="5" totalsRowDxfId="4"/>
    <tableColumn id="18" name="BLK" totalsRowFunction="sum" dataDxfId="3" totalsRowDxfId="2"/>
    <tableColumn id="20" name="PTS" totalsRowFunction="sum" dataDxfId="1" totalsRowDxfId="0">
      <calculatedColumnFormula>davisballer3Stats[[#This Row],[FTM]]+davisballer3Stats[[#This Row],[3-PT FGM]]+2*davisballer3Stats[[#This Row],[FGM]]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4" name="newkidStats" displayName="newkidStats" ref="A1:R238" totalsRowCount="1" headerRowDxfId="338" dataDxfId="337">
  <autoFilter ref="A1:R237"/>
  <tableColumns count="18">
    <tableColumn id="1" name="Date" totalsRowLabel="Total" dataDxfId="336" totalsRowDxfId="335"/>
    <tableColumn id="2" name=" " dataDxfId="334" totalsRowDxfId="333"/>
    <tableColumn id="3" name="Player" dataDxfId="332" totalsRowDxfId="331"/>
    <tableColumn id="4" name="FGM" totalsRowFunction="sum" dataDxfId="330" totalsRowDxfId="329"/>
    <tableColumn id="5" name="FGA" totalsRowFunction="sum" dataDxfId="328" totalsRowDxfId="327"/>
    <tableColumn id="6" name="FG%" totalsRowFunction="custom" dataDxfId="326" totalsRowDxfId="325">
      <calculatedColumnFormula>IF(E2=0,0,D2/E2)</calculatedColumnFormula>
      <totalsRowFormula>newkidStats[[#Totals],[FGM]]/newkidStats[[#Totals],[FGA]]</totalsRowFormula>
    </tableColumn>
    <tableColumn id="7" name="3-PT FGM" totalsRowFunction="sum" dataDxfId="324" totalsRowDxfId="323"/>
    <tableColumn id="8" name="3-PT FGA" totalsRowFunction="sum" dataDxfId="322" totalsRowDxfId="321"/>
    <tableColumn id="9" name="3-PT%" totalsRowFunction="custom" dataDxfId="320" totalsRowDxfId="319">
      <calculatedColumnFormula>IF(H2=0,0,G2/H2)</calculatedColumnFormula>
      <totalsRowFormula>newkidStats[[#Totals],[3-PT FGM]]/newkidStats[[#Totals],[3-PT FGA]]</totalsRowFormula>
    </tableColumn>
    <tableColumn id="10" name="FTM" totalsRowFunction="sum" dataDxfId="318" totalsRowDxfId="317"/>
    <tableColumn id="11" name="FTA" totalsRowFunction="sum" dataDxfId="316" totalsRowDxfId="315"/>
    <tableColumn id="12" name="FT%" totalsRowFunction="custom" dataDxfId="314" totalsRowDxfId="313">
      <calculatedColumnFormula>IF(K2=0,0,J2/K2)</calculatedColumnFormula>
      <totalsRowFormula>newkidStats[[#Totals],[FTM]]/newkidStats[[#Totals],[FTA]]</totalsRowFormula>
    </tableColumn>
    <tableColumn id="13" name="REB" totalsRowFunction="sum" dataDxfId="312" totalsRowDxfId="311"/>
    <tableColumn id="16" name="AST" totalsRowFunction="sum" dataDxfId="310" totalsRowDxfId="309"/>
    <tableColumn id="19" name="STL" totalsRowFunction="sum" dataDxfId="308" totalsRowDxfId="307"/>
    <tableColumn id="17" name="TO" totalsRowFunction="sum" dataDxfId="306" totalsRowDxfId="305"/>
    <tableColumn id="18" name="BLK" totalsRowFunction="sum" dataDxfId="304" totalsRowDxfId="303"/>
    <tableColumn id="20" name="PTS" totalsRowFunction="sum" dataDxfId="302" totalsRowDxfId="301">
      <calculatedColumnFormula>newkidStats[[#This Row],[FTM]]+newkidStats[[#This Row],[3-PT FGM]]+2*newkidStats[[#This Row],[FGM]]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alexisfanStats" displayName="alexisfanStats" ref="A1:R232" totalsRowCount="1" headerRowDxfId="300" dataDxfId="299">
  <autoFilter ref="A1:R231"/>
  <tableColumns count="18">
    <tableColumn id="1" name="Date" totalsRowLabel="Total" dataDxfId="298"/>
    <tableColumn id="22" name=" " dataDxfId="297"/>
    <tableColumn id="3" name="Player" dataDxfId="296" totalsRowDxfId="295"/>
    <tableColumn id="4" name="FGM" totalsRowFunction="sum" dataDxfId="294" totalsRowDxfId="293"/>
    <tableColumn id="5" name="FGA" totalsRowFunction="sum" dataDxfId="292" totalsRowDxfId="291"/>
    <tableColumn id="6" name="FG%" totalsRowFunction="custom" dataDxfId="290" totalsRowDxfId="289">
      <calculatedColumnFormula>IF(E2=0,0,D2/E2)</calculatedColumnFormula>
      <totalsRowFormula>alexisfanStats[[#Totals],[FGM]]/alexisfanStats[[#Totals],[FGA]]</totalsRowFormula>
    </tableColumn>
    <tableColumn id="7" name="3-PT FGM" totalsRowFunction="sum" dataDxfId="288" totalsRowDxfId="287"/>
    <tableColumn id="8" name="3-PT FGA" totalsRowFunction="sum" dataDxfId="286" totalsRowDxfId="285"/>
    <tableColumn id="9" name="3-PT%" totalsRowFunction="custom" dataDxfId="284" totalsRowDxfId="283">
      <calculatedColumnFormula>IF(H2=0,0,G2/H2)</calculatedColumnFormula>
      <totalsRowFormula>IF(alexisfanStats[[#Totals],[3-PT FGA]]=0,0,alexisfanStats[[#Totals],[3-PT FGM]]/alexisfanStats[[#Totals],[3-PT FGA]])</totalsRowFormula>
    </tableColumn>
    <tableColumn id="10" name="FTM" totalsRowFunction="sum" dataDxfId="282" totalsRowDxfId="281"/>
    <tableColumn id="11" name="FTA" totalsRowFunction="sum" dataDxfId="280" totalsRowDxfId="279"/>
    <tableColumn id="12" name="FT%" totalsRowFunction="custom" dataDxfId="278" totalsRowDxfId="277">
      <calculatedColumnFormula>IF(K2=0,0,J2/K2)</calculatedColumnFormula>
      <totalsRowFormula>alexisfanStats[[#Totals],[FTM]]/alexisfanStats[[#Totals],[FTA]]</totalsRowFormula>
    </tableColumn>
    <tableColumn id="13" name="REB" totalsRowFunction="sum" dataDxfId="276" totalsRowDxfId="275"/>
    <tableColumn id="16" name="AST" totalsRowFunction="sum" dataDxfId="274" totalsRowDxfId="273"/>
    <tableColumn id="19" name="STL" totalsRowFunction="sum" dataDxfId="272" totalsRowDxfId="271"/>
    <tableColumn id="17" name="TO" totalsRowFunction="sum" dataDxfId="270" totalsRowDxfId="269"/>
    <tableColumn id="18" name="BLK" totalsRowFunction="sum" dataDxfId="268" totalsRowDxfId="267"/>
    <tableColumn id="14" name="PTS" totalsRowFunction="sum" dataDxfId="266" totalsRowDxfId="265">
      <calculatedColumnFormula>alexisfanStats[[#This Row],[FTM]]+alexisfanStats[[#This Row],[3-PT FGM]]+2*alexisfanStats[[#This Row],[FGM]]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2" name="idchafeeStats" displayName="idchafeeStats" ref="A1:R229" totalsRowCount="1" headerRowDxfId="264" dataDxfId="263">
  <autoFilter ref="A1:R228"/>
  <tableColumns count="18">
    <tableColumn id="1" name="Date" totalsRowLabel="Total" dataDxfId="262" totalsRowDxfId="261"/>
    <tableColumn id="2" name=" " dataDxfId="260" totalsRowDxfId="259"/>
    <tableColumn id="3" name="Player" dataDxfId="258" totalsRowDxfId="257"/>
    <tableColumn id="4" name="FGM" totalsRowFunction="sum" dataDxfId="256" totalsRowDxfId="255"/>
    <tableColumn id="5" name="FGA" totalsRowFunction="sum" dataDxfId="254" totalsRowDxfId="253"/>
    <tableColumn id="6" name="FG%" totalsRowFunction="custom" dataDxfId="252" totalsRowDxfId="251">
      <calculatedColumnFormula>IF(E2=0,0,D2/E2)</calculatedColumnFormula>
      <totalsRowFormula>idchafeeStats[[#Totals],[FGM]]/idchafeeStats[[#Totals],[FGA]]</totalsRowFormula>
    </tableColumn>
    <tableColumn id="7" name="3-PT FGM" totalsRowFunction="sum" dataDxfId="250" totalsRowDxfId="249"/>
    <tableColumn id="8" name="3-PT FGA" totalsRowFunction="sum" dataDxfId="248" totalsRowDxfId="247"/>
    <tableColumn id="9" name="3-PT%" totalsRowFunction="custom" dataDxfId="246" totalsRowDxfId="245">
      <calculatedColumnFormula>IF(H2=0,0,G2/H2)</calculatedColumnFormula>
      <totalsRowFormula>idchafeeStats[[#Totals],[3-PT FGM]]/idchafeeStats[[#Totals],[3-PT FGA]]</totalsRowFormula>
    </tableColumn>
    <tableColumn id="10" name="FTM" totalsRowFunction="sum" dataDxfId="244" totalsRowDxfId="243"/>
    <tableColumn id="11" name="FTA" totalsRowFunction="sum" dataDxfId="242" totalsRowDxfId="241"/>
    <tableColumn id="12" name="FT%" totalsRowFunction="custom" dataDxfId="240" totalsRowDxfId="239">
      <calculatedColumnFormula>IF(K2=0,0,J2/K2)</calculatedColumnFormula>
      <totalsRowFormula>idchafeeStats[[#Totals],[FTM]]/idchafeeStats[[#Totals],[FTA]]</totalsRowFormula>
    </tableColumn>
    <tableColumn id="13" name="REB" totalsRowFunction="sum" dataDxfId="238" totalsRowDxfId="237"/>
    <tableColumn id="16" name="AST" totalsRowFunction="sum" dataDxfId="236" totalsRowDxfId="235"/>
    <tableColumn id="19" name="STL" totalsRowFunction="sum" dataDxfId="234" totalsRowDxfId="233"/>
    <tableColumn id="17" name="TO" totalsRowFunction="sum" dataDxfId="232" totalsRowDxfId="231"/>
    <tableColumn id="18" name="BLK" totalsRowFunction="sum" dataDxfId="230" totalsRowDxfId="229"/>
    <tableColumn id="20" name="PTS" totalsRowFunction="sum" dataDxfId="228" totalsRowDxfId="227">
      <calculatedColumnFormula>idchafeeStats[[#This Row],[FTM]]+idchafeeStats[[#This Row],[3-PT FGM]]+2*idchafeeStats[[#This Row],[FGM]]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5" name="BlackTigersStats" displayName="BlackTigersStats" ref="A1:R238" totalsRowCount="1" headerRowDxfId="226" dataDxfId="225">
  <autoFilter ref="A1:R237"/>
  <tableColumns count="18">
    <tableColumn id="1" name="Date" totalsRowLabel="Total" dataDxfId="224" totalsRowDxfId="223"/>
    <tableColumn id="2" name=" " dataDxfId="222" totalsRowDxfId="221"/>
    <tableColumn id="3" name="Player" dataDxfId="220" totalsRowDxfId="219"/>
    <tableColumn id="4" name="FGM" totalsRowFunction="sum" dataDxfId="218" totalsRowDxfId="217"/>
    <tableColumn id="5" name="FGA" totalsRowFunction="sum" dataDxfId="216" totalsRowDxfId="215"/>
    <tableColumn id="6" name="FG%" totalsRowFunction="custom" dataDxfId="214" totalsRowDxfId="213">
      <calculatedColumnFormula>IF(E2=0,0,D2/E2)</calculatedColumnFormula>
      <totalsRowFormula>BlackTigersStats[[#Totals],[FGM]]/BlackTigersStats[[#Totals],[FGA]]</totalsRowFormula>
    </tableColumn>
    <tableColumn id="7" name="3-PT FGM" totalsRowFunction="sum" dataDxfId="212" totalsRowDxfId="211"/>
    <tableColumn id="8" name="3-PT FGA" totalsRowFunction="sum" dataDxfId="210" totalsRowDxfId="209"/>
    <tableColumn id="9" name="3-PT%" totalsRowFunction="custom" dataDxfId="208" totalsRowDxfId="207">
      <calculatedColumnFormula>IF(H2=0,0,G2/H2)</calculatedColumnFormula>
      <totalsRowFormula>BlackTigersStats[[#Totals],[3-PT FGM]]/BlackTigersStats[[#Totals],[3-PT FGA]]</totalsRowFormula>
    </tableColumn>
    <tableColumn id="10" name="FTM" totalsRowFunction="sum" dataDxfId="206" totalsRowDxfId="205"/>
    <tableColumn id="11" name="FTA" totalsRowFunction="sum" dataDxfId="204" totalsRowDxfId="203"/>
    <tableColumn id="12" name="FT%" totalsRowFunction="custom" dataDxfId="202" totalsRowDxfId="201">
      <calculatedColumnFormula>IF(K2=0,0,J2/K2)</calculatedColumnFormula>
      <totalsRowFormula>BlackTigersStats[[#Totals],[FTM]]/BlackTigersStats[[#Totals],[FTA]]</totalsRowFormula>
    </tableColumn>
    <tableColumn id="13" name="REB" totalsRowFunction="sum" dataDxfId="200" totalsRowDxfId="199"/>
    <tableColumn id="16" name="AST" totalsRowFunction="sum" dataDxfId="198" totalsRowDxfId="197"/>
    <tableColumn id="19" name="STL" totalsRowFunction="sum" dataDxfId="196" totalsRowDxfId="195"/>
    <tableColumn id="17" name="TO" totalsRowFunction="sum" dataDxfId="194" totalsRowDxfId="193"/>
    <tableColumn id="18" name="BLK" totalsRowFunction="sum" dataDxfId="192" totalsRowDxfId="191"/>
    <tableColumn id="20" name="PTS" totalsRowFunction="sum" dataDxfId="190" totalsRowDxfId="189">
      <calculatedColumnFormula>BlackTigersStats[[#This Row],[FTM]]+BlackTigersStats[[#This Row],[3-PT FGM]]+2*BlackTigersStats[[#This Row],[FGM]]</calculatedColumnFormula>
    </tableColumn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1" name="hustlefanStats" displayName="hustlefanStats" ref="A1:R232" totalsRowCount="1" headerRowDxfId="188" dataDxfId="187">
  <autoFilter ref="A1:R231"/>
  <tableColumns count="18">
    <tableColumn id="1" name="Date" totalsRowLabel="Total" dataDxfId="186" totalsRowDxfId="185"/>
    <tableColumn id="2" name=" " dataDxfId="184" totalsRowDxfId="183"/>
    <tableColumn id="3" name="Player"/>
    <tableColumn id="4" name="FGM" totalsRowFunction="sum" dataDxfId="182" totalsRowDxfId="181"/>
    <tableColumn id="5" name="FGA" totalsRowFunction="sum" dataDxfId="180" totalsRowDxfId="179"/>
    <tableColumn id="6" name="FG%" totalsRowFunction="custom" dataDxfId="178" totalsRowDxfId="177">
      <calculatedColumnFormula>IF(E2=0,0,D2/E2)</calculatedColumnFormula>
      <totalsRowFormula>hustlefanStats[[#Totals],[FGM]]/hustlefanStats[[#Totals],[FGA]]</totalsRowFormula>
    </tableColumn>
    <tableColumn id="7" name="3-PT FGM" totalsRowFunction="sum" dataDxfId="176" totalsRowDxfId="175"/>
    <tableColumn id="8" name="3-PT FGA" totalsRowFunction="sum" dataDxfId="174" totalsRowDxfId="173"/>
    <tableColumn id="9" name="3-PT%" totalsRowFunction="custom" dataDxfId="172" totalsRowDxfId="171">
      <calculatedColumnFormula>IF(H2=0,0,G2/H2)</calculatedColumnFormula>
      <totalsRowFormula>hustlefanStats[[#Totals],[3-PT FGM]]/hustlefanStats[[#Totals],[3-PT FGA]]</totalsRowFormula>
    </tableColumn>
    <tableColumn id="10" name="FTM" totalsRowFunction="sum" dataDxfId="170" totalsRowDxfId="169"/>
    <tableColumn id="11" name="FTA" totalsRowFunction="sum" dataDxfId="168" totalsRowDxfId="167"/>
    <tableColumn id="12" name="FT%" totalsRowFunction="custom" dataDxfId="166" totalsRowDxfId="165">
      <calculatedColumnFormula>IF(K2=0,0,J2/K2)</calculatedColumnFormula>
      <totalsRowFormula>hustlefanStats[[#Totals],[FTM]]/hustlefanStats[[#Totals],[FTA]]</totalsRowFormula>
    </tableColumn>
    <tableColumn id="13" name="REB" totalsRowFunction="sum" dataDxfId="164" totalsRowDxfId="163"/>
    <tableColumn id="16" name="AST" totalsRowFunction="sum" dataDxfId="162" totalsRowDxfId="161"/>
    <tableColumn id="19" name="STL" totalsRowFunction="sum" dataDxfId="160" totalsRowDxfId="159"/>
    <tableColumn id="17" name="TO" totalsRowFunction="sum" dataDxfId="158" totalsRowDxfId="157"/>
    <tableColumn id="18" name="BLK" totalsRowFunction="sum" dataDxfId="156" totalsRowDxfId="155"/>
    <tableColumn id="20" name="PTS" totalsRowFunction="sum" dataDxfId="154" totalsRowDxfId="153">
      <calculatedColumnFormula>hustlefanStats[[#This Row],[FTM]]+hustlefanStats[[#This Row],[3-PT FGM]]+2*hustlefanStats[[#This Row],[FGM]]</calculatedColumnFormula>
    </tableColumn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beckyhammonfan1Stats" displayName="beckyhammonfan1Stats" ref="A1:R238" totalsRowCount="1" headerRowDxfId="152" dataDxfId="151">
  <autoFilter ref="A1:R237"/>
  <tableColumns count="18">
    <tableColumn id="1" name="Date" totalsRowLabel="Total" dataDxfId="150" totalsRowDxfId="149"/>
    <tableColumn id="2" name=" " dataDxfId="148" totalsRowDxfId="147"/>
    <tableColumn id="3" name="Player" dataDxfId="146" totalsRowDxfId="145"/>
    <tableColumn id="4" name="FGM" totalsRowFunction="sum" dataDxfId="144" totalsRowDxfId="143"/>
    <tableColumn id="5" name="FGA" totalsRowFunction="sum" dataDxfId="142" totalsRowDxfId="141"/>
    <tableColumn id="6" name="FG%" totalsRowFunction="custom" dataDxfId="140" totalsRowDxfId="139">
      <calculatedColumnFormula>IF(E2=0,0,D2/E2)</calculatedColumnFormula>
      <totalsRowFormula>beckyhammonfan1Stats[[#Totals],[FGM]]/beckyhammonfan1Stats[[#Totals],[FGA]]</totalsRowFormula>
    </tableColumn>
    <tableColumn id="7" name="3-PT FGM" totalsRowFunction="sum" dataDxfId="138" totalsRowDxfId="137"/>
    <tableColumn id="8" name="3-PT FGA" totalsRowFunction="sum" dataDxfId="136" totalsRowDxfId="135"/>
    <tableColumn id="9" name="3-PT%" totalsRowFunction="custom" dataDxfId="134" totalsRowDxfId="133">
      <calculatedColumnFormula>IF(H2=0,0,G2/H2)</calculatedColumnFormula>
      <totalsRowFormula>beckyhammonfan1Stats[[#Totals],[3-PT FGM]]/beckyhammonfan1Stats[[#Totals],[3-PT FGA]]</totalsRowFormula>
    </tableColumn>
    <tableColumn id="10" name="FTM" totalsRowFunction="sum" dataDxfId="132" totalsRowDxfId="131"/>
    <tableColumn id="11" name="FTA" totalsRowFunction="sum" dataDxfId="130" totalsRowDxfId="129"/>
    <tableColumn id="12" name="FT%" totalsRowFunction="custom" dataDxfId="128" totalsRowDxfId="127">
      <calculatedColumnFormula>IF(K2=0,0,J2/K2)</calculatedColumnFormula>
      <totalsRowFormula>beckyhammonfan1Stats[[#Totals],[FTM]]/beckyhammonfan1Stats[[#Totals],[FTA]]</totalsRowFormula>
    </tableColumn>
    <tableColumn id="13" name="REB" totalsRowFunction="sum" dataDxfId="126" totalsRowDxfId="125"/>
    <tableColumn id="16" name="AST" totalsRowFunction="sum" dataDxfId="124" totalsRowDxfId="123"/>
    <tableColumn id="19" name="STL" totalsRowFunction="sum" dataDxfId="122" totalsRowDxfId="121"/>
    <tableColumn id="17" name="TO" totalsRowFunction="sum" dataDxfId="120" totalsRowDxfId="119"/>
    <tableColumn id="18" name="BLK" totalsRowFunction="sum" dataDxfId="118" totalsRowDxfId="117"/>
    <tableColumn id="20" name="PTS" totalsRowFunction="sum" dataDxfId="116" totalsRowDxfId="115">
      <calculatedColumnFormula>2*beckyhammonfan1Stats[[#This Row],[FGM]]+beckyhammonfan1Stats[[#This Row],[3-PT FGM]]+beckyhammonfan1Stats[[#This Row],[FTM]]</calculatedColumnFormula>
    </tableColumn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10" name="shootsandscoresStats" displayName="shootsandscoresStats" ref="A1:R244" totalsRowCount="1" headerRowDxfId="114" dataDxfId="113">
  <autoFilter ref="A1:R243"/>
  <tableColumns count="18">
    <tableColumn id="1" name="Date" totalsRowLabel="Total" dataDxfId="112" totalsRowDxfId="111"/>
    <tableColumn id="2" name=" " dataDxfId="110" totalsRowDxfId="109"/>
    <tableColumn id="3" name="Player" dataDxfId="108" totalsRowDxfId="107"/>
    <tableColumn id="4" name="FGM" totalsRowFunction="sum" dataDxfId="106" totalsRowDxfId="105"/>
    <tableColumn id="5" name="FGA" totalsRowFunction="sum" dataDxfId="104" totalsRowDxfId="103"/>
    <tableColumn id="6" name="FG%" totalsRowFunction="custom" dataDxfId="102" totalsRowDxfId="101">
      <calculatedColumnFormula>IF(E2=0,0,D2/E2)</calculatedColumnFormula>
      <totalsRowFormula>shootsandscoresStats[[#Totals],[FGM]]/shootsandscoresStats[[#Totals],[FGA]]</totalsRowFormula>
    </tableColumn>
    <tableColumn id="7" name="3-PT FGM" totalsRowFunction="sum" dataDxfId="100" totalsRowDxfId="99"/>
    <tableColumn id="8" name="3-PT FGA" totalsRowFunction="sum" dataDxfId="98" totalsRowDxfId="97"/>
    <tableColumn id="9" name="3-PT%" totalsRowFunction="custom" dataDxfId="96" totalsRowDxfId="95">
      <calculatedColumnFormula>IF(H2=0,0,G2/H2)</calculatedColumnFormula>
      <totalsRowFormula>shootsandscoresStats[[#Totals],[3-PT FGM]]/shootsandscoresStats[[#Totals],[3-PT FGA]]</totalsRowFormula>
    </tableColumn>
    <tableColumn id="10" name="FTM" totalsRowFunction="sum" dataDxfId="94" totalsRowDxfId="93"/>
    <tableColumn id="11" name="FTA" totalsRowFunction="sum" dataDxfId="92" totalsRowDxfId="91"/>
    <tableColumn id="12" name="FT%" totalsRowFunction="custom" dataDxfId="90" totalsRowDxfId="89">
      <calculatedColumnFormula>IF(K2=0,0,J2/K2)</calculatedColumnFormula>
      <totalsRowFormula>shootsandscoresStats[[#Totals],[FTM]]/shootsandscoresStats[[#Totals],[FTA]]</totalsRowFormula>
    </tableColumn>
    <tableColumn id="13" name="REB" totalsRowFunction="sum" dataDxfId="88" totalsRowDxfId="87"/>
    <tableColumn id="16" name="AST" totalsRowFunction="sum" dataDxfId="86" totalsRowDxfId="85"/>
    <tableColumn id="19" name="STL" totalsRowFunction="sum" dataDxfId="84" totalsRowDxfId="83"/>
    <tableColumn id="17" name="TO" totalsRowFunction="sum" dataDxfId="82" totalsRowDxfId="81"/>
    <tableColumn id="18" name="BLK" totalsRowFunction="sum" dataDxfId="80" totalsRowDxfId="79"/>
    <tableColumn id="20" name="PTS" totalsRowFunction="sum" dataDxfId="78" totalsRowDxfId="77">
      <calculatedColumnFormula>shootsandscoresStats[[#This Row],[FTM]]+shootsandscoresStats[[#This Row],[3-PT FGM]]+2*shootsandscoresStats[[#This Row],[FGM]]</calculatedColumnFormula>
    </tableColumn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9" name="rokky10Stats" displayName="rokky10Stats" ref="A1:R197" totalsRowCount="1" headerRowDxfId="76" dataDxfId="75">
  <autoFilter ref="A1:R196"/>
  <tableColumns count="18">
    <tableColumn id="1" name="Date" totalsRowLabel="Total" dataDxfId="74" totalsRowDxfId="73"/>
    <tableColumn id="2" name=" " dataDxfId="72" totalsRowDxfId="71"/>
    <tableColumn id="3" name="Player" dataDxfId="70" totalsRowDxfId="69"/>
    <tableColumn id="4" name="FGM" totalsRowFunction="sum" dataDxfId="68" totalsRowDxfId="67"/>
    <tableColumn id="5" name="FGA" totalsRowFunction="sum" dataDxfId="66" totalsRowDxfId="65"/>
    <tableColumn id="6" name="FG%" totalsRowFunction="custom" dataDxfId="64" totalsRowDxfId="63">
      <calculatedColumnFormula>IF(E2=0,0,D2/E2)</calculatedColumnFormula>
      <totalsRowFormula>rokky10Stats[[#Totals],[FGM]]/rokky10Stats[[#Totals],[FGA]]</totalsRowFormula>
    </tableColumn>
    <tableColumn id="7" name="3-PT FGM" totalsRowFunction="sum" dataDxfId="62" totalsRowDxfId="61"/>
    <tableColumn id="8" name="3-PT FGA" totalsRowFunction="sum" dataDxfId="60" totalsRowDxfId="59"/>
    <tableColumn id="9" name="3-PT%" totalsRowFunction="custom" dataDxfId="58" totalsRowDxfId="57">
      <calculatedColumnFormula>IF(H2=0,0,G2/H2)</calculatedColumnFormula>
      <totalsRowFormula>rokky10Stats[[#Totals],[3-PT FGM]]/rokky10Stats[[#Totals],[3-PT FGA]]</totalsRowFormula>
    </tableColumn>
    <tableColumn id="10" name="FTM" totalsRowFunction="sum" dataDxfId="56" totalsRowDxfId="55"/>
    <tableColumn id="11" name="FTA" totalsRowFunction="sum" dataDxfId="54" totalsRowDxfId="53"/>
    <tableColumn id="12" name="FT%" totalsRowFunction="custom" dataDxfId="52" totalsRowDxfId="51">
      <calculatedColumnFormula>IF(K2=0,0,J2/K2)</calculatedColumnFormula>
      <totalsRowFormula>rokky10Stats[[#Totals],[FTM]]/rokky10Stats[[#Totals],[FTA]]</totalsRowFormula>
    </tableColumn>
    <tableColumn id="13" name="REB" totalsRowFunction="sum" dataDxfId="50" totalsRowDxfId="49"/>
    <tableColumn id="16" name="AST" totalsRowFunction="sum" dataDxfId="48" totalsRowDxfId="47"/>
    <tableColumn id="19" name="STL" totalsRowFunction="sum" dataDxfId="46" totalsRowDxfId="45"/>
    <tableColumn id="17" name="TO" totalsRowFunction="sum" dataDxfId="44" totalsRowDxfId="43"/>
    <tableColumn id="18" name="BLK" totalsRowFunction="sum" dataDxfId="42" totalsRowDxfId="41"/>
    <tableColumn id="20" name="PTS" totalsRowFunction="sum" dataDxfId="40" totalsRowDxfId="39">
      <calculatedColumnFormula>rokky10Stats[[#This Row],[FTM]]+rokky10Stats[[#This Row],[3-PT FGM]]+2*rokky10Stats[[#This Row],[FGM]]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afee.net/wnba/tbinta.html" TargetMode="External"/><Relationship Id="rId13" Type="http://schemas.openxmlformats.org/officeDocument/2006/relationships/hyperlink" Target="http://www.chafee.net/wnba/lumes.html" TargetMode="External"/><Relationship Id="rId18" Type="http://schemas.openxmlformats.org/officeDocument/2006/relationships/hyperlink" Target="http://www.chafee.net/wnba/tbinta.html" TargetMode="External"/><Relationship Id="rId3" Type="http://schemas.openxmlformats.org/officeDocument/2006/relationships/hyperlink" Target="http://www.chafee.net/wnba/lumes.html" TargetMode="External"/><Relationship Id="rId21" Type="http://schemas.openxmlformats.org/officeDocument/2006/relationships/printerSettings" Target="../printerSettings/printerSettings4.bin"/><Relationship Id="rId7" Type="http://schemas.openxmlformats.org/officeDocument/2006/relationships/hyperlink" Target="http://www.chafee.net/wnba/soyouthink.html" TargetMode="External"/><Relationship Id="rId12" Type="http://schemas.openxmlformats.org/officeDocument/2006/relationships/hyperlink" Target="http://www.chafee.net/wnba/myrtle.html" TargetMode="External"/><Relationship Id="rId17" Type="http://schemas.openxmlformats.org/officeDocument/2006/relationships/hyperlink" Target="http://www.chafee.net/wnba/soyouthink.html" TargetMode="External"/><Relationship Id="rId2" Type="http://schemas.openxmlformats.org/officeDocument/2006/relationships/hyperlink" Target="http://www.chafee.net/wnba/myrtle.html" TargetMode="External"/><Relationship Id="rId16" Type="http://schemas.openxmlformats.org/officeDocument/2006/relationships/hyperlink" Target="http://www.chafee.net/wnba/cardinal.html" TargetMode="External"/><Relationship Id="rId20" Type="http://schemas.openxmlformats.org/officeDocument/2006/relationships/hyperlink" Target="http://www.chafee.net/wnba/idchafee.html" TargetMode="External"/><Relationship Id="rId1" Type="http://schemas.openxmlformats.org/officeDocument/2006/relationships/hyperlink" Target="http://www.chafee.net/wnba/hangtyme.html" TargetMode="External"/><Relationship Id="rId6" Type="http://schemas.openxmlformats.org/officeDocument/2006/relationships/hyperlink" Target="http://www.chafee.net/wnba/cardinal.html" TargetMode="External"/><Relationship Id="rId11" Type="http://schemas.openxmlformats.org/officeDocument/2006/relationships/hyperlink" Target="http://www.chafee.net/wnba/hangtyme.html" TargetMode="External"/><Relationship Id="rId5" Type="http://schemas.openxmlformats.org/officeDocument/2006/relationships/hyperlink" Target="http://www.chafee.net/wnba/jlight.html" TargetMode="External"/><Relationship Id="rId15" Type="http://schemas.openxmlformats.org/officeDocument/2006/relationships/hyperlink" Target="http://www.chafee.net/wnba/jlight.html" TargetMode="External"/><Relationship Id="rId10" Type="http://schemas.openxmlformats.org/officeDocument/2006/relationships/hyperlink" Target="http://www.chafee.net/wnba/idchafee.html" TargetMode="External"/><Relationship Id="rId19" Type="http://schemas.openxmlformats.org/officeDocument/2006/relationships/hyperlink" Target="http://www.chafee.net/wnba/jspoon.html" TargetMode="External"/><Relationship Id="rId4" Type="http://schemas.openxmlformats.org/officeDocument/2006/relationships/hyperlink" Target="http://www.chafee.net/wnba/lynxmania.html" TargetMode="External"/><Relationship Id="rId9" Type="http://schemas.openxmlformats.org/officeDocument/2006/relationships/hyperlink" Target="http://www.chafee.net/wnba/jspoon.html" TargetMode="External"/><Relationship Id="rId14" Type="http://schemas.openxmlformats.org/officeDocument/2006/relationships/hyperlink" Target="http://www.chafee.net/wnba/lynxmania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3"/>
  <sheetViews>
    <sheetView showGridLines="0" topLeftCell="A241" workbookViewId="0">
      <selection activeCell="C243" sqref="C243"/>
    </sheetView>
  </sheetViews>
  <sheetFormatPr defaultRowHeight="15" x14ac:dyDescent="0.25"/>
  <cols>
    <col min="1" max="1" width="7.42578125" style="6" bestFit="1" customWidth="1"/>
    <col min="2" max="2" width="1.42578125" style="6" bestFit="1" customWidth="1"/>
    <col min="3" max="3" width="20.42578125" style="6" customWidth="1"/>
    <col min="4" max="4" width="5.28515625" style="6" bestFit="1" customWidth="1"/>
    <col min="5" max="5" width="5.140625" style="6" customWidth="1"/>
    <col min="6" max="6" width="5.5703125" style="7" bestFit="1" customWidth="1"/>
    <col min="7" max="7" width="5.140625" style="6" customWidth="1"/>
    <col min="8" max="8" width="5" style="6" customWidth="1"/>
    <col min="9" max="9" width="8.42578125" style="7" bestFit="1" customWidth="1"/>
    <col min="10" max="10" width="4.85546875" style="6" bestFit="1" customWidth="1"/>
    <col min="11" max="11" width="4.28515625" style="6" bestFit="1" customWidth="1"/>
    <col min="12" max="12" width="5.5703125" style="7" bestFit="1" customWidth="1"/>
    <col min="13" max="13" width="5" style="6" bestFit="1" customWidth="1"/>
    <col min="14" max="14" width="4.28515625" style="6" bestFit="1" customWidth="1"/>
    <col min="15" max="15" width="3.85546875" style="6" bestFit="1" customWidth="1"/>
    <col min="16" max="16" width="4" bestFit="1" customWidth="1"/>
    <col min="17" max="17" width="4.140625" style="6" bestFit="1" customWidth="1"/>
    <col min="18" max="18" width="5" bestFit="1" customWidth="1"/>
    <col min="20" max="20" width="6" style="6" customWidth="1"/>
    <col min="21" max="16384" width="9.140625" style="6"/>
  </cols>
  <sheetData>
    <row r="1" spans="1:19" s="3" customFormat="1" x14ac:dyDescent="0.25">
      <c r="A1" s="3" t="s">
        <v>0</v>
      </c>
      <c r="B1" s="11" t="s">
        <v>19</v>
      </c>
      <c r="C1" s="4" t="s">
        <v>1</v>
      </c>
      <c r="D1" s="3" t="s">
        <v>2</v>
      </c>
      <c r="E1" s="3" t="s">
        <v>3</v>
      </c>
      <c r="F1" s="5" t="s">
        <v>4</v>
      </c>
      <c r="G1" s="3" t="s">
        <v>5</v>
      </c>
      <c r="H1" s="3" t="s">
        <v>6</v>
      </c>
      <c r="I1" s="5" t="s">
        <v>7</v>
      </c>
      <c r="J1" s="3" t="s">
        <v>8</v>
      </c>
      <c r="K1" s="3" t="s">
        <v>9</v>
      </c>
      <c r="L1" s="5" t="s">
        <v>10</v>
      </c>
      <c r="M1" s="3" t="s">
        <v>11</v>
      </c>
      <c r="N1" s="3" t="s">
        <v>12</v>
      </c>
      <c r="O1" s="3" t="s">
        <v>15</v>
      </c>
      <c r="P1" s="3" t="s">
        <v>16</v>
      </c>
      <c r="Q1" s="3" t="s">
        <v>14</v>
      </c>
      <c r="R1" s="13" t="s">
        <v>13</v>
      </c>
    </row>
    <row r="2" spans="1:19" x14ac:dyDescent="0.25">
      <c r="A2" s="14">
        <v>42160</v>
      </c>
      <c r="B2" s="15"/>
      <c r="C2" s="86" t="s">
        <v>29</v>
      </c>
      <c r="D2" s="16">
        <v>8</v>
      </c>
      <c r="E2" s="16">
        <v>17</v>
      </c>
      <c r="F2" s="17">
        <f t="shared" ref="F2:F33" si="0">IF(E2=0,0,D2/E2)</f>
        <v>0.47058823529411764</v>
      </c>
      <c r="G2" s="16">
        <v>5</v>
      </c>
      <c r="H2" s="16">
        <v>9</v>
      </c>
      <c r="I2" s="17">
        <f t="shared" ref="I2:I33" si="1">IF(H2=0,0,G2/H2)</f>
        <v>0.55555555555555558</v>
      </c>
      <c r="J2" s="16">
        <v>2</v>
      </c>
      <c r="K2" s="16">
        <v>3</v>
      </c>
      <c r="L2" s="17">
        <f t="shared" ref="L2:L33" si="2">IF(K2=0,0,J2/K2)</f>
        <v>0.66666666666666663</v>
      </c>
      <c r="M2" s="16">
        <v>3</v>
      </c>
      <c r="N2" s="16">
        <v>2</v>
      </c>
      <c r="O2" s="16">
        <v>1</v>
      </c>
      <c r="P2" s="16">
        <v>1</v>
      </c>
      <c r="Q2" s="16">
        <v>0</v>
      </c>
      <c r="R2" s="16">
        <v>23</v>
      </c>
      <c r="S2" s="6"/>
    </row>
    <row r="3" spans="1:19" x14ac:dyDescent="0.25">
      <c r="A3" s="26">
        <v>42160</v>
      </c>
      <c r="B3" s="26"/>
      <c r="C3" s="87" t="s">
        <v>30</v>
      </c>
      <c r="D3" s="23">
        <v>4</v>
      </c>
      <c r="E3" s="23">
        <v>12</v>
      </c>
      <c r="F3" s="24">
        <f t="shared" si="0"/>
        <v>0.33333333333333331</v>
      </c>
      <c r="G3" s="23">
        <v>1</v>
      </c>
      <c r="H3" s="23">
        <v>4</v>
      </c>
      <c r="I3" s="24">
        <f t="shared" si="1"/>
        <v>0.25</v>
      </c>
      <c r="J3" s="23">
        <v>0</v>
      </c>
      <c r="K3" s="23">
        <v>0</v>
      </c>
      <c r="L3" s="24">
        <f t="shared" si="2"/>
        <v>0</v>
      </c>
      <c r="M3" s="23">
        <v>3</v>
      </c>
      <c r="N3" s="23">
        <v>1</v>
      </c>
      <c r="O3" s="23">
        <v>1</v>
      </c>
      <c r="P3" s="23">
        <v>2</v>
      </c>
      <c r="Q3" s="23">
        <v>0</v>
      </c>
      <c r="R3" s="25">
        <v>9</v>
      </c>
    </row>
    <row r="4" spans="1:19" x14ac:dyDescent="0.25">
      <c r="A4" s="26">
        <v>42160</v>
      </c>
      <c r="B4" s="26"/>
      <c r="C4" s="87" t="s">
        <v>31</v>
      </c>
      <c r="D4" s="23">
        <v>1</v>
      </c>
      <c r="E4" s="23">
        <v>4</v>
      </c>
      <c r="F4" s="24">
        <f t="shared" si="0"/>
        <v>0.25</v>
      </c>
      <c r="G4" s="23">
        <v>0</v>
      </c>
      <c r="H4" s="23">
        <v>0</v>
      </c>
      <c r="I4" s="24">
        <f t="shared" si="1"/>
        <v>0</v>
      </c>
      <c r="J4" s="23">
        <v>2</v>
      </c>
      <c r="K4" s="23">
        <v>5</v>
      </c>
      <c r="L4" s="24">
        <f t="shared" si="2"/>
        <v>0.4</v>
      </c>
      <c r="M4" s="23">
        <v>5</v>
      </c>
      <c r="N4" s="23">
        <v>2</v>
      </c>
      <c r="O4" s="23">
        <v>0</v>
      </c>
      <c r="P4" s="23">
        <v>1</v>
      </c>
      <c r="Q4" s="23">
        <v>0</v>
      </c>
      <c r="R4" s="25">
        <v>4</v>
      </c>
    </row>
    <row r="5" spans="1:19" x14ac:dyDescent="0.25">
      <c r="A5" s="26">
        <v>42160</v>
      </c>
      <c r="B5" s="26"/>
      <c r="C5" s="87" t="s">
        <v>32</v>
      </c>
      <c r="D5" s="23">
        <v>1</v>
      </c>
      <c r="E5" s="23">
        <v>4</v>
      </c>
      <c r="F5" s="24">
        <f t="shared" si="0"/>
        <v>0.25</v>
      </c>
      <c r="G5" s="23">
        <v>0</v>
      </c>
      <c r="H5" s="23">
        <v>1</v>
      </c>
      <c r="I5" s="24">
        <f t="shared" si="1"/>
        <v>0</v>
      </c>
      <c r="J5" s="23">
        <v>0</v>
      </c>
      <c r="K5" s="23">
        <v>0</v>
      </c>
      <c r="L5" s="24">
        <f t="shared" si="2"/>
        <v>0</v>
      </c>
      <c r="M5" s="23">
        <v>5</v>
      </c>
      <c r="N5" s="23">
        <v>1</v>
      </c>
      <c r="O5" s="23">
        <v>1</v>
      </c>
      <c r="P5" s="23">
        <v>3</v>
      </c>
      <c r="Q5" s="23">
        <v>1</v>
      </c>
      <c r="R5" s="25">
        <v>2</v>
      </c>
    </row>
    <row r="6" spans="1:19" x14ac:dyDescent="0.25">
      <c r="A6" s="26">
        <v>42160</v>
      </c>
      <c r="B6" s="26"/>
      <c r="C6" s="87" t="s">
        <v>33</v>
      </c>
      <c r="D6" s="23">
        <v>7</v>
      </c>
      <c r="E6" s="23">
        <v>19</v>
      </c>
      <c r="F6" s="24">
        <f t="shared" si="0"/>
        <v>0.36842105263157893</v>
      </c>
      <c r="G6" s="23">
        <v>2</v>
      </c>
      <c r="H6" s="23">
        <v>5</v>
      </c>
      <c r="I6" s="24">
        <f t="shared" si="1"/>
        <v>0.4</v>
      </c>
      <c r="J6" s="23">
        <v>4</v>
      </c>
      <c r="K6" s="23">
        <v>4</v>
      </c>
      <c r="L6" s="24">
        <f t="shared" si="2"/>
        <v>1</v>
      </c>
      <c r="M6" s="23">
        <v>2</v>
      </c>
      <c r="N6" s="23">
        <v>1</v>
      </c>
      <c r="O6" s="23">
        <v>1</v>
      </c>
      <c r="P6" s="23">
        <v>2</v>
      </c>
      <c r="Q6" s="23">
        <v>0</v>
      </c>
      <c r="R6" s="25">
        <v>20</v>
      </c>
    </row>
    <row r="7" spans="1:19" x14ac:dyDescent="0.25">
      <c r="A7" s="110">
        <v>42160</v>
      </c>
      <c r="B7" s="110"/>
      <c r="C7" s="119" t="s">
        <v>34</v>
      </c>
      <c r="D7" s="112">
        <v>4</v>
      </c>
      <c r="E7" s="112">
        <v>10</v>
      </c>
      <c r="F7" s="113">
        <f t="shared" si="0"/>
        <v>0.4</v>
      </c>
      <c r="G7" s="112">
        <v>1</v>
      </c>
      <c r="H7" s="112">
        <v>2</v>
      </c>
      <c r="I7" s="113">
        <f t="shared" si="1"/>
        <v>0.5</v>
      </c>
      <c r="J7" s="112">
        <v>2</v>
      </c>
      <c r="K7" s="112">
        <v>2</v>
      </c>
      <c r="L7" s="113">
        <f t="shared" si="2"/>
        <v>1</v>
      </c>
      <c r="M7" s="112">
        <v>1</v>
      </c>
      <c r="N7" s="112">
        <v>3</v>
      </c>
      <c r="O7" s="112">
        <v>1</v>
      </c>
      <c r="P7" s="112">
        <v>0</v>
      </c>
      <c r="Q7" s="112">
        <v>0</v>
      </c>
      <c r="R7" s="115">
        <v>11</v>
      </c>
    </row>
    <row r="8" spans="1:19" x14ac:dyDescent="0.25">
      <c r="A8" s="110">
        <v>42161</v>
      </c>
      <c r="B8" s="110"/>
      <c r="C8" s="120" t="s">
        <v>30</v>
      </c>
      <c r="D8" s="112">
        <v>6</v>
      </c>
      <c r="E8" s="112">
        <v>12</v>
      </c>
      <c r="F8" s="113">
        <f t="shared" si="0"/>
        <v>0.5</v>
      </c>
      <c r="G8" s="112">
        <v>2</v>
      </c>
      <c r="H8" s="112">
        <v>4</v>
      </c>
      <c r="I8" s="113">
        <f t="shared" si="1"/>
        <v>0.5</v>
      </c>
      <c r="J8" s="112">
        <v>1</v>
      </c>
      <c r="K8" s="112">
        <v>2</v>
      </c>
      <c r="L8" s="113">
        <f t="shared" si="2"/>
        <v>0.5</v>
      </c>
      <c r="M8" s="112">
        <v>5</v>
      </c>
      <c r="N8" s="112">
        <v>0</v>
      </c>
      <c r="O8" s="112">
        <v>0</v>
      </c>
      <c r="P8" s="112">
        <v>2</v>
      </c>
      <c r="Q8" s="112">
        <v>0</v>
      </c>
      <c r="R8" s="115">
        <v>15</v>
      </c>
    </row>
    <row r="9" spans="1:19" x14ac:dyDescent="0.25">
      <c r="A9" s="110">
        <v>42161</v>
      </c>
      <c r="B9" s="110"/>
      <c r="C9" s="120" t="s">
        <v>29</v>
      </c>
      <c r="D9" s="112">
        <v>4</v>
      </c>
      <c r="E9" s="112">
        <v>12</v>
      </c>
      <c r="F9" s="113">
        <f t="shared" si="0"/>
        <v>0.33333333333333331</v>
      </c>
      <c r="G9" s="112">
        <v>1</v>
      </c>
      <c r="H9" s="112">
        <v>5</v>
      </c>
      <c r="I9" s="113">
        <f t="shared" si="1"/>
        <v>0.2</v>
      </c>
      <c r="J9" s="112">
        <v>7</v>
      </c>
      <c r="K9" s="112">
        <v>8</v>
      </c>
      <c r="L9" s="113">
        <f t="shared" si="2"/>
        <v>0.875</v>
      </c>
      <c r="M9" s="112">
        <v>10</v>
      </c>
      <c r="N9" s="112">
        <v>3</v>
      </c>
      <c r="O9" s="112">
        <v>3</v>
      </c>
      <c r="P9" s="112">
        <v>3</v>
      </c>
      <c r="Q9" s="112">
        <v>0</v>
      </c>
      <c r="R9" s="115">
        <v>16</v>
      </c>
    </row>
    <row r="10" spans="1:19" x14ac:dyDescent="0.25">
      <c r="A10" s="110">
        <v>42161</v>
      </c>
      <c r="B10" s="110"/>
      <c r="C10" s="120" t="s">
        <v>31</v>
      </c>
      <c r="D10" s="112">
        <v>1</v>
      </c>
      <c r="E10" s="112">
        <v>2</v>
      </c>
      <c r="F10" s="113">
        <f t="shared" si="0"/>
        <v>0.5</v>
      </c>
      <c r="G10" s="112">
        <v>0</v>
      </c>
      <c r="H10" s="112">
        <v>0</v>
      </c>
      <c r="I10" s="113">
        <f t="shared" si="1"/>
        <v>0</v>
      </c>
      <c r="J10" s="112">
        <v>0</v>
      </c>
      <c r="K10" s="112">
        <v>0</v>
      </c>
      <c r="L10" s="113">
        <f t="shared" si="2"/>
        <v>0</v>
      </c>
      <c r="M10" s="112">
        <v>2</v>
      </c>
      <c r="N10" s="112">
        <v>0</v>
      </c>
      <c r="O10" s="112">
        <v>1</v>
      </c>
      <c r="P10" s="112">
        <v>0</v>
      </c>
      <c r="Q10" s="112">
        <v>0</v>
      </c>
      <c r="R10" s="115">
        <v>2</v>
      </c>
    </row>
    <row r="11" spans="1:19" x14ac:dyDescent="0.25">
      <c r="A11" s="26">
        <v>42161</v>
      </c>
      <c r="B11" s="26"/>
      <c r="C11" s="88" t="s">
        <v>98</v>
      </c>
      <c r="D11" s="23">
        <v>1</v>
      </c>
      <c r="E11" s="23">
        <v>4</v>
      </c>
      <c r="F11" s="24">
        <f t="shared" si="0"/>
        <v>0.25</v>
      </c>
      <c r="G11" s="23">
        <v>0</v>
      </c>
      <c r="H11" s="23">
        <v>0</v>
      </c>
      <c r="I11" s="24">
        <f t="shared" si="1"/>
        <v>0</v>
      </c>
      <c r="J11" s="23">
        <v>0</v>
      </c>
      <c r="K11" s="23">
        <v>0</v>
      </c>
      <c r="L11" s="24">
        <f t="shared" si="2"/>
        <v>0</v>
      </c>
      <c r="M11" s="23">
        <v>1</v>
      </c>
      <c r="N11" s="23">
        <v>1</v>
      </c>
      <c r="O11" s="23">
        <v>1</v>
      </c>
      <c r="P11" s="23">
        <v>1</v>
      </c>
      <c r="Q11" s="23">
        <v>0</v>
      </c>
      <c r="R11" s="25">
        <v>2</v>
      </c>
    </row>
    <row r="12" spans="1:19" x14ac:dyDescent="0.25">
      <c r="A12" s="26">
        <v>42164</v>
      </c>
      <c r="B12" s="26"/>
      <c r="C12" s="88" t="s">
        <v>30</v>
      </c>
      <c r="D12" s="23">
        <v>3</v>
      </c>
      <c r="E12" s="23">
        <v>7</v>
      </c>
      <c r="F12" s="38">
        <f t="shared" si="0"/>
        <v>0.42857142857142855</v>
      </c>
      <c r="G12" s="23">
        <v>3</v>
      </c>
      <c r="H12" s="23">
        <v>4</v>
      </c>
      <c r="I12" s="38">
        <f t="shared" si="1"/>
        <v>0.75</v>
      </c>
      <c r="J12" s="23">
        <v>4</v>
      </c>
      <c r="K12" s="23">
        <v>4</v>
      </c>
      <c r="L12" s="38">
        <f t="shared" si="2"/>
        <v>1</v>
      </c>
      <c r="M12" s="23">
        <v>3</v>
      </c>
      <c r="N12" s="23">
        <v>2</v>
      </c>
      <c r="O12" s="23">
        <v>0</v>
      </c>
      <c r="P12" s="23">
        <v>2</v>
      </c>
      <c r="Q12" s="23">
        <v>0</v>
      </c>
      <c r="R12" s="25">
        <v>13</v>
      </c>
    </row>
    <row r="13" spans="1:19" x14ac:dyDescent="0.25">
      <c r="A13" s="26">
        <v>42164</v>
      </c>
      <c r="B13" s="26"/>
      <c r="C13" s="88" t="s">
        <v>100</v>
      </c>
      <c r="D13" s="23">
        <v>1</v>
      </c>
      <c r="E13" s="23">
        <v>4</v>
      </c>
      <c r="F13" s="38">
        <f t="shared" si="0"/>
        <v>0.25</v>
      </c>
      <c r="G13" s="23">
        <v>0</v>
      </c>
      <c r="H13" s="23">
        <v>0</v>
      </c>
      <c r="I13" s="38">
        <f t="shared" si="1"/>
        <v>0</v>
      </c>
      <c r="J13" s="23">
        <v>4</v>
      </c>
      <c r="K13" s="23">
        <v>4</v>
      </c>
      <c r="L13" s="38">
        <f t="shared" si="2"/>
        <v>1</v>
      </c>
      <c r="M13" s="23">
        <v>4</v>
      </c>
      <c r="N13" s="23">
        <v>0</v>
      </c>
      <c r="O13" s="23">
        <v>1</v>
      </c>
      <c r="P13" s="23">
        <v>1</v>
      </c>
      <c r="Q13" s="23">
        <v>2</v>
      </c>
      <c r="R13" s="25">
        <v>6</v>
      </c>
    </row>
    <row r="14" spans="1:19" x14ac:dyDescent="0.25">
      <c r="A14" s="26">
        <v>42164</v>
      </c>
      <c r="B14" s="26"/>
      <c r="C14" s="88" t="s">
        <v>98</v>
      </c>
      <c r="D14" s="23">
        <v>5</v>
      </c>
      <c r="E14" s="23">
        <v>9</v>
      </c>
      <c r="F14" s="38">
        <f t="shared" si="0"/>
        <v>0.55555555555555558</v>
      </c>
      <c r="G14" s="23">
        <v>1</v>
      </c>
      <c r="H14" s="23">
        <v>3</v>
      </c>
      <c r="I14" s="38">
        <f t="shared" si="1"/>
        <v>0.33333333333333331</v>
      </c>
      <c r="J14" s="23">
        <v>0</v>
      </c>
      <c r="K14" s="23">
        <v>0</v>
      </c>
      <c r="L14" s="38">
        <f t="shared" si="2"/>
        <v>0</v>
      </c>
      <c r="M14" s="23">
        <v>6</v>
      </c>
      <c r="N14" s="23">
        <v>0</v>
      </c>
      <c r="O14" s="23">
        <v>2</v>
      </c>
      <c r="P14" s="23">
        <v>1</v>
      </c>
      <c r="Q14" s="23">
        <v>1</v>
      </c>
      <c r="R14" s="25">
        <v>11</v>
      </c>
    </row>
    <row r="15" spans="1:19" x14ac:dyDescent="0.25">
      <c r="A15" s="43">
        <v>42166</v>
      </c>
      <c r="B15" s="43"/>
      <c r="C15" s="88" t="s">
        <v>29</v>
      </c>
      <c r="D15" s="23">
        <v>3</v>
      </c>
      <c r="E15" s="23">
        <v>12</v>
      </c>
      <c r="F15" s="38">
        <f t="shared" si="0"/>
        <v>0.25</v>
      </c>
      <c r="G15" s="23">
        <v>0</v>
      </c>
      <c r="H15" s="23">
        <v>4</v>
      </c>
      <c r="I15" s="38">
        <f t="shared" si="1"/>
        <v>0</v>
      </c>
      <c r="J15" s="23">
        <v>1</v>
      </c>
      <c r="K15" s="23">
        <v>2</v>
      </c>
      <c r="L15" s="38">
        <f t="shared" si="2"/>
        <v>0.5</v>
      </c>
      <c r="M15" s="23">
        <v>7</v>
      </c>
      <c r="N15" s="23">
        <v>1</v>
      </c>
      <c r="O15" s="23">
        <v>2</v>
      </c>
      <c r="P15" s="23">
        <v>4</v>
      </c>
      <c r="Q15" s="23">
        <v>0</v>
      </c>
      <c r="R15" s="25">
        <v>7</v>
      </c>
    </row>
    <row r="16" spans="1:19" x14ac:dyDescent="0.25">
      <c r="A16" s="43">
        <v>42166</v>
      </c>
      <c r="B16" s="43"/>
      <c r="C16" s="88" t="s">
        <v>100</v>
      </c>
      <c r="D16" s="23">
        <v>3</v>
      </c>
      <c r="E16" s="23">
        <v>4</v>
      </c>
      <c r="F16" s="38">
        <f t="shared" si="0"/>
        <v>0.75</v>
      </c>
      <c r="G16" s="23">
        <v>0</v>
      </c>
      <c r="H16" s="23">
        <v>0</v>
      </c>
      <c r="I16" s="38">
        <f t="shared" si="1"/>
        <v>0</v>
      </c>
      <c r="J16" s="23">
        <v>1</v>
      </c>
      <c r="K16" s="23">
        <v>1</v>
      </c>
      <c r="L16" s="38">
        <f t="shared" si="2"/>
        <v>1</v>
      </c>
      <c r="M16" s="23">
        <v>3</v>
      </c>
      <c r="N16" s="23">
        <v>0</v>
      </c>
      <c r="O16" s="23">
        <v>0</v>
      </c>
      <c r="P16" s="23">
        <v>3</v>
      </c>
      <c r="Q16" s="23">
        <v>1</v>
      </c>
      <c r="R16" s="25">
        <v>7</v>
      </c>
    </row>
    <row r="17" spans="1:18" x14ac:dyDescent="0.25">
      <c r="A17" s="43">
        <v>42166</v>
      </c>
      <c r="B17" s="43"/>
      <c r="C17" s="88" t="s">
        <v>32</v>
      </c>
      <c r="D17" s="23">
        <v>0</v>
      </c>
      <c r="E17" s="23">
        <v>0</v>
      </c>
      <c r="F17" s="38">
        <f t="shared" si="0"/>
        <v>0</v>
      </c>
      <c r="G17" s="23">
        <v>0</v>
      </c>
      <c r="H17" s="23">
        <v>0</v>
      </c>
      <c r="I17" s="38">
        <f t="shared" si="1"/>
        <v>0</v>
      </c>
      <c r="J17" s="23">
        <v>0</v>
      </c>
      <c r="K17" s="23">
        <v>0</v>
      </c>
      <c r="L17" s="38">
        <f t="shared" si="2"/>
        <v>0</v>
      </c>
      <c r="M17" s="23">
        <v>6</v>
      </c>
      <c r="N17" s="23">
        <v>2</v>
      </c>
      <c r="O17" s="23">
        <v>0</v>
      </c>
      <c r="P17" s="23">
        <v>4</v>
      </c>
      <c r="Q17" s="23">
        <v>4</v>
      </c>
      <c r="R17" s="25">
        <v>0</v>
      </c>
    </row>
    <row r="18" spans="1:18" x14ac:dyDescent="0.25">
      <c r="A18" s="43">
        <v>42166</v>
      </c>
      <c r="B18" s="43"/>
      <c r="C18" s="88" t="s">
        <v>33</v>
      </c>
      <c r="D18" s="23">
        <v>5</v>
      </c>
      <c r="E18" s="23">
        <v>15</v>
      </c>
      <c r="F18" s="38">
        <f t="shared" si="0"/>
        <v>0.33333333333333331</v>
      </c>
      <c r="G18" s="23">
        <v>2</v>
      </c>
      <c r="H18" s="23">
        <v>9</v>
      </c>
      <c r="I18" s="38">
        <f t="shared" si="1"/>
        <v>0.22222222222222221</v>
      </c>
      <c r="J18" s="23">
        <v>1</v>
      </c>
      <c r="K18" s="23">
        <v>2</v>
      </c>
      <c r="L18" s="38">
        <f t="shared" si="2"/>
        <v>0.5</v>
      </c>
      <c r="M18" s="23">
        <v>3</v>
      </c>
      <c r="N18" s="23">
        <v>2</v>
      </c>
      <c r="O18" s="23">
        <v>1</v>
      </c>
      <c r="P18" s="23">
        <v>4</v>
      </c>
      <c r="Q18" s="23">
        <v>0</v>
      </c>
      <c r="R18" s="25">
        <v>13</v>
      </c>
    </row>
    <row r="19" spans="1:18" x14ac:dyDescent="0.25">
      <c r="A19" s="21">
        <v>42166</v>
      </c>
      <c r="B19" s="20"/>
      <c r="C19" s="89" t="s">
        <v>34</v>
      </c>
      <c r="D19" s="42">
        <v>0</v>
      </c>
      <c r="E19" s="42">
        <v>7</v>
      </c>
      <c r="F19" s="19">
        <f t="shared" si="0"/>
        <v>0</v>
      </c>
      <c r="G19" s="42">
        <v>0</v>
      </c>
      <c r="H19" s="42">
        <v>5</v>
      </c>
      <c r="I19" s="19">
        <f t="shared" si="1"/>
        <v>0</v>
      </c>
      <c r="J19" s="42">
        <v>2</v>
      </c>
      <c r="K19" s="42">
        <v>2</v>
      </c>
      <c r="L19" s="19">
        <f t="shared" si="2"/>
        <v>1</v>
      </c>
      <c r="M19" s="42">
        <v>3</v>
      </c>
      <c r="N19" s="42">
        <v>3</v>
      </c>
      <c r="O19" s="42">
        <v>0</v>
      </c>
      <c r="P19" s="42">
        <v>0</v>
      </c>
      <c r="Q19" s="42">
        <v>0</v>
      </c>
      <c r="R19" s="42">
        <v>2</v>
      </c>
    </row>
    <row r="20" spans="1:18" x14ac:dyDescent="0.25">
      <c r="A20" s="21">
        <v>42167</v>
      </c>
      <c r="B20" s="20"/>
      <c r="C20" s="90" t="s">
        <v>34</v>
      </c>
      <c r="D20" s="16">
        <v>8</v>
      </c>
      <c r="E20" s="16">
        <v>14</v>
      </c>
      <c r="F20" s="38">
        <f t="shared" si="0"/>
        <v>0.5714285714285714</v>
      </c>
      <c r="G20" s="16">
        <v>7</v>
      </c>
      <c r="H20" s="16">
        <v>10</v>
      </c>
      <c r="I20" s="38">
        <f t="shared" si="1"/>
        <v>0.7</v>
      </c>
      <c r="J20" s="16">
        <v>2</v>
      </c>
      <c r="K20" s="16">
        <v>2</v>
      </c>
      <c r="L20" s="38">
        <f t="shared" si="2"/>
        <v>1</v>
      </c>
      <c r="M20" s="16">
        <v>1</v>
      </c>
      <c r="N20" s="16">
        <v>0</v>
      </c>
      <c r="O20" s="16">
        <v>2</v>
      </c>
      <c r="P20" s="16">
        <v>2</v>
      </c>
      <c r="Q20" s="16">
        <v>0</v>
      </c>
      <c r="R20" s="16">
        <v>25</v>
      </c>
    </row>
    <row r="21" spans="1:18" x14ac:dyDescent="0.25">
      <c r="A21" s="21">
        <v>42167</v>
      </c>
      <c r="B21" s="20"/>
      <c r="C21" s="90" t="s">
        <v>30</v>
      </c>
      <c r="D21" s="16">
        <v>1</v>
      </c>
      <c r="E21" s="16">
        <v>5</v>
      </c>
      <c r="F21" s="38">
        <f t="shared" si="0"/>
        <v>0.2</v>
      </c>
      <c r="G21" s="16">
        <v>0</v>
      </c>
      <c r="H21" s="16">
        <v>1</v>
      </c>
      <c r="I21" s="38">
        <f t="shared" si="1"/>
        <v>0</v>
      </c>
      <c r="J21" s="16">
        <v>0</v>
      </c>
      <c r="K21" s="16">
        <v>0</v>
      </c>
      <c r="L21" s="38">
        <f t="shared" si="2"/>
        <v>0</v>
      </c>
      <c r="M21" s="16">
        <v>0</v>
      </c>
      <c r="N21" s="16">
        <v>2</v>
      </c>
      <c r="O21" s="16">
        <v>0</v>
      </c>
      <c r="P21" s="16">
        <v>2</v>
      </c>
      <c r="Q21" s="16">
        <v>0</v>
      </c>
      <c r="R21" s="16">
        <v>2</v>
      </c>
    </row>
    <row r="22" spans="1:18" x14ac:dyDescent="0.25">
      <c r="A22" s="43">
        <v>42169</v>
      </c>
      <c r="B22" s="43"/>
      <c r="C22" s="88" t="s">
        <v>29</v>
      </c>
      <c r="D22" s="23">
        <v>5</v>
      </c>
      <c r="E22" s="23">
        <v>18</v>
      </c>
      <c r="F22" s="38">
        <f t="shared" si="0"/>
        <v>0.27777777777777779</v>
      </c>
      <c r="G22" s="23">
        <v>0</v>
      </c>
      <c r="H22" s="23">
        <v>4</v>
      </c>
      <c r="I22" s="38">
        <f t="shared" si="1"/>
        <v>0</v>
      </c>
      <c r="J22" s="23">
        <v>7</v>
      </c>
      <c r="K22" s="23">
        <v>7</v>
      </c>
      <c r="L22" s="38">
        <f t="shared" si="2"/>
        <v>1</v>
      </c>
      <c r="M22" s="23">
        <v>7</v>
      </c>
      <c r="N22" s="23">
        <v>1</v>
      </c>
      <c r="O22" s="23">
        <v>4</v>
      </c>
      <c r="P22" s="23">
        <v>2</v>
      </c>
      <c r="Q22" s="23">
        <v>0</v>
      </c>
      <c r="R22" s="25">
        <v>17</v>
      </c>
    </row>
    <row r="23" spans="1:18" x14ac:dyDescent="0.25">
      <c r="A23" s="43">
        <v>42169</v>
      </c>
      <c r="B23" s="43"/>
      <c r="C23" s="88" t="s">
        <v>98</v>
      </c>
      <c r="D23" s="23">
        <v>3</v>
      </c>
      <c r="E23" s="23">
        <v>9</v>
      </c>
      <c r="F23" s="38">
        <f t="shared" si="0"/>
        <v>0.33333333333333331</v>
      </c>
      <c r="G23" s="23">
        <v>0</v>
      </c>
      <c r="H23" s="23">
        <v>0</v>
      </c>
      <c r="I23" s="38">
        <f t="shared" si="1"/>
        <v>0</v>
      </c>
      <c r="J23" s="23">
        <v>2</v>
      </c>
      <c r="K23" s="23">
        <v>3</v>
      </c>
      <c r="L23" s="38">
        <f t="shared" si="2"/>
        <v>0.66666666666666663</v>
      </c>
      <c r="M23" s="23">
        <v>4</v>
      </c>
      <c r="N23" s="23">
        <v>2</v>
      </c>
      <c r="O23" s="23">
        <v>0</v>
      </c>
      <c r="P23" s="23">
        <v>0</v>
      </c>
      <c r="Q23" s="23">
        <v>2</v>
      </c>
      <c r="R23" s="25">
        <v>8</v>
      </c>
    </row>
    <row r="24" spans="1:18" x14ac:dyDescent="0.25">
      <c r="A24" s="43">
        <v>42169</v>
      </c>
      <c r="B24" s="43"/>
      <c r="C24" s="88" t="s">
        <v>32</v>
      </c>
      <c r="D24" s="23">
        <v>1</v>
      </c>
      <c r="E24" s="23">
        <v>4</v>
      </c>
      <c r="F24" s="38">
        <f t="shared" si="0"/>
        <v>0.25</v>
      </c>
      <c r="G24" s="23">
        <v>0</v>
      </c>
      <c r="H24" s="23">
        <v>1</v>
      </c>
      <c r="I24" s="38">
        <f t="shared" si="1"/>
        <v>0</v>
      </c>
      <c r="J24" s="23">
        <v>1</v>
      </c>
      <c r="K24" s="23">
        <v>2</v>
      </c>
      <c r="L24" s="38">
        <f t="shared" si="2"/>
        <v>0.5</v>
      </c>
      <c r="M24" s="23">
        <v>7</v>
      </c>
      <c r="N24" s="23">
        <v>1</v>
      </c>
      <c r="O24" s="23">
        <v>1</v>
      </c>
      <c r="P24" s="23">
        <v>1</v>
      </c>
      <c r="Q24" s="23">
        <v>5</v>
      </c>
      <c r="R24" s="25">
        <v>3</v>
      </c>
    </row>
    <row r="25" spans="1:18" x14ac:dyDescent="0.25">
      <c r="A25" s="43">
        <v>42169</v>
      </c>
      <c r="B25" s="43"/>
      <c r="C25" s="88" t="s">
        <v>33</v>
      </c>
      <c r="D25" s="23">
        <v>2</v>
      </c>
      <c r="E25" s="23">
        <v>12</v>
      </c>
      <c r="F25" s="38">
        <f t="shared" si="0"/>
        <v>0.16666666666666666</v>
      </c>
      <c r="G25" s="23">
        <v>0</v>
      </c>
      <c r="H25" s="23">
        <v>1</v>
      </c>
      <c r="I25" s="38">
        <f t="shared" si="1"/>
        <v>0</v>
      </c>
      <c r="J25" s="23">
        <v>0</v>
      </c>
      <c r="K25" s="23">
        <v>0</v>
      </c>
      <c r="L25" s="38">
        <f t="shared" si="2"/>
        <v>0</v>
      </c>
      <c r="M25" s="23">
        <v>0</v>
      </c>
      <c r="N25" s="23">
        <v>1</v>
      </c>
      <c r="O25" s="23">
        <v>1</v>
      </c>
      <c r="P25" s="23">
        <v>0</v>
      </c>
      <c r="Q25" s="23">
        <v>1</v>
      </c>
      <c r="R25" s="25">
        <v>4</v>
      </c>
    </row>
    <row r="26" spans="1:18" x14ac:dyDescent="0.25">
      <c r="A26" s="43">
        <v>42169</v>
      </c>
      <c r="B26" s="43"/>
      <c r="C26" s="88" t="s">
        <v>106</v>
      </c>
      <c r="D26" s="23">
        <v>2</v>
      </c>
      <c r="E26" s="23">
        <v>3</v>
      </c>
      <c r="F26" s="38">
        <f t="shared" si="0"/>
        <v>0.66666666666666663</v>
      </c>
      <c r="G26" s="23">
        <v>1</v>
      </c>
      <c r="H26" s="23">
        <v>2</v>
      </c>
      <c r="I26" s="38">
        <f t="shared" si="1"/>
        <v>0.5</v>
      </c>
      <c r="J26" s="23">
        <v>2</v>
      </c>
      <c r="K26" s="23">
        <v>2</v>
      </c>
      <c r="L26" s="38">
        <f t="shared" si="2"/>
        <v>1</v>
      </c>
      <c r="M26" s="23">
        <v>8</v>
      </c>
      <c r="N26" s="23">
        <v>1</v>
      </c>
      <c r="O26" s="23">
        <v>0</v>
      </c>
      <c r="P26" s="23">
        <v>1</v>
      </c>
      <c r="Q26" s="23">
        <v>0</v>
      </c>
      <c r="R26" s="25">
        <v>7</v>
      </c>
    </row>
    <row r="27" spans="1:18" x14ac:dyDescent="0.25">
      <c r="A27" s="43">
        <v>42169</v>
      </c>
      <c r="B27" s="43"/>
      <c r="C27" s="88" t="s">
        <v>100</v>
      </c>
      <c r="D27" s="23">
        <v>5</v>
      </c>
      <c r="E27" s="23">
        <v>10</v>
      </c>
      <c r="F27" s="38">
        <f t="shared" si="0"/>
        <v>0.5</v>
      </c>
      <c r="G27" s="23">
        <v>0</v>
      </c>
      <c r="H27" s="23">
        <v>0</v>
      </c>
      <c r="I27" s="38">
        <f t="shared" si="1"/>
        <v>0</v>
      </c>
      <c r="J27" s="23">
        <v>2</v>
      </c>
      <c r="K27" s="23">
        <v>2</v>
      </c>
      <c r="L27" s="38">
        <f t="shared" si="2"/>
        <v>1</v>
      </c>
      <c r="M27" s="23">
        <v>5</v>
      </c>
      <c r="N27" s="23">
        <v>0</v>
      </c>
      <c r="O27" s="23">
        <v>1</v>
      </c>
      <c r="P27" s="23">
        <v>1</v>
      </c>
      <c r="Q27" s="23">
        <v>1</v>
      </c>
      <c r="R27" s="25">
        <v>12</v>
      </c>
    </row>
    <row r="28" spans="1:18" x14ac:dyDescent="0.25">
      <c r="A28" s="43">
        <v>42171</v>
      </c>
      <c r="B28" s="43"/>
      <c r="C28" s="88" t="s">
        <v>32</v>
      </c>
      <c r="D28" s="23">
        <v>0</v>
      </c>
      <c r="E28" s="23">
        <v>3</v>
      </c>
      <c r="F28" s="38">
        <f t="shared" si="0"/>
        <v>0</v>
      </c>
      <c r="G28" s="23">
        <v>0</v>
      </c>
      <c r="H28" s="23">
        <v>0</v>
      </c>
      <c r="I28" s="38">
        <f t="shared" si="1"/>
        <v>0</v>
      </c>
      <c r="J28" s="23">
        <v>0</v>
      </c>
      <c r="K28" s="23">
        <v>0</v>
      </c>
      <c r="L28" s="38">
        <f t="shared" si="2"/>
        <v>0</v>
      </c>
      <c r="M28" s="23">
        <v>2</v>
      </c>
      <c r="N28" s="23">
        <v>1</v>
      </c>
      <c r="O28" s="23">
        <v>0</v>
      </c>
      <c r="P28" s="23">
        <v>1</v>
      </c>
      <c r="Q28" s="23">
        <v>1</v>
      </c>
      <c r="R28" s="25">
        <v>0</v>
      </c>
    </row>
    <row r="29" spans="1:18" x14ac:dyDescent="0.25">
      <c r="A29" s="21">
        <v>42171</v>
      </c>
      <c r="B29" s="20"/>
      <c r="C29" s="90" t="s">
        <v>33</v>
      </c>
      <c r="D29" s="16">
        <v>8</v>
      </c>
      <c r="E29" s="16">
        <v>18</v>
      </c>
      <c r="F29" s="45">
        <f t="shared" si="0"/>
        <v>0.44444444444444442</v>
      </c>
      <c r="G29" s="16">
        <v>2</v>
      </c>
      <c r="H29" s="16">
        <v>6</v>
      </c>
      <c r="I29" s="45">
        <f t="shared" si="1"/>
        <v>0.33333333333333331</v>
      </c>
      <c r="J29" s="16">
        <v>2</v>
      </c>
      <c r="K29" s="16">
        <v>2</v>
      </c>
      <c r="L29" s="45">
        <f t="shared" si="2"/>
        <v>1</v>
      </c>
      <c r="M29" s="16">
        <v>6</v>
      </c>
      <c r="N29" s="16">
        <v>1</v>
      </c>
      <c r="O29" s="16">
        <v>3</v>
      </c>
      <c r="P29" s="16">
        <v>2</v>
      </c>
      <c r="Q29" s="16">
        <v>2</v>
      </c>
      <c r="R29" s="16">
        <v>20</v>
      </c>
    </row>
    <row r="30" spans="1:18" x14ac:dyDescent="0.25">
      <c r="A30" s="21">
        <v>42171</v>
      </c>
      <c r="B30" s="20"/>
      <c r="C30" s="90" t="s">
        <v>98</v>
      </c>
      <c r="D30" s="16">
        <v>6</v>
      </c>
      <c r="E30" s="16">
        <v>14</v>
      </c>
      <c r="F30" s="45">
        <f t="shared" si="0"/>
        <v>0.42857142857142855</v>
      </c>
      <c r="G30" s="16">
        <v>2</v>
      </c>
      <c r="H30" s="16">
        <v>5</v>
      </c>
      <c r="I30" s="45">
        <f t="shared" si="1"/>
        <v>0.4</v>
      </c>
      <c r="J30" s="16">
        <v>2</v>
      </c>
      <c r="K30" s="16">
        <v>2</v>
      </c>
      <c r="L30" s="45">
        <f t="shared" si="2"/>
        <v>1</v>
      </c>
      <c r="M30" s="16">
        <v>3</v>
      </c>
      <c r="N30" s="16">
        <v>2</v>
      </c>
      <c r="O30" s="16">
        <v>2</v>
      </c>
      <c r="P30" s="16">
        <v>2</v>
      </c>
      <c r="Q30" s="16">
        <v>0</v>
      </c>
      <c r="R30" s="16">
        <v>16</v>
      </c>
    </row>
    <row r="31" spans="1:18" x14ac:dyDescent="0.25">
      <c r="A31" s="43">
        <v>42171</v>
      </c>
      <c r="B31" s="43"/>
      <c r="C31" s="88" t="s">
        <v>106</v>
      </c>
      <c r="D31" s="23">
        <v>4</v>
      </c>
      <c r="E31" s="23">
        <v>6</v>
      </c>
      <c r="F31" s="38">
        <f t="shared" si="0"/>
        <v>0.66666666666666663</v>
      </c>
      <c r="G31" s="23">
        <v>0</v>
      </c>
      <c r="H31" s="23">
        <v>1</v>
      </c>
      <c r="I31" s="38">
        <f t="shared" si="1"/>
        <v>0</v>
      </c>
      <c r="J31" s="23">
        <v>3</v>
      </c>
      <c r="K31" s="23">
        <v>5</v>
      </c>
      <c r="L31" s="38">
        <f t="shared" si="2"/>
        <v>0.6</v>
      </c>
      <c r="M31" s="23">
        <v>2</v>
      </c>
      <c r="N31" s="23">
        <v>0</v>
      </c>
      <c r="O31" s="23">
        <v>0</v>
      </c>
      <c r="P31" s="23">
        <v>1</v>
      </c>
      <c r="Q31" s="23">
        <v>0</v>
      </c>
      <c r="R31" s="25">
        <v>11</v>
      </c>
    </row>
    <row r="32" spans="1:18" x14ac:dyDescent="0.25">
      <c r="A32" s="43">
        <v>42171</v>
      </c>
      <c r="B32" s="43"/>
      <c r="C32" s="88" t="s">
        <v>29</v>
      </c>
      <c r="D32" s="23">
        <v>8</v>
      </c>
      <c r="E32" s="23">
        <v>15</v>
      </c>
      <c r="F32" s="38">
        <f t="shared" si="0"/>
        <v>0.53333333333333333</v>
      </c>
      <c r="G32" s="23">
        <v>2</v>
      </c>
      <c r="H32" s="23">
        <v>6</v>
      </c>
      <c r="I32" s="38">
        <f t="shared" si="1"/>
        <v>0.33333333333333331</v>
      </c>
      <c r="J32" s="23">
        <v>4</v>
      </c>
      <c r="K32" s="23">
        <v>7</v>
      </c>
      <c r="L32" s="38">
        <f t="shared" si="2"/>
        <v>0.5714285714285714</v>
      </c>
      <c r="M32" s="23">
        <v>4</v>
      </c>
      <c r="N32" s="23">
        <v>4</v>
      </c>
      <c r="O32" s="23">
        <v>1</v>
      </c>
      <c r="P32" s="23">
        <v>2</v>
      </c>
      <c r="Q32" s="23">
        <v>1</v>
      </c>
      <c r="R32" s="25">
        <v>22</v>
      </c>
    </row>
    <row r="33" spans="1:18" x14ac:dyDescent="0.25">
      <c r="A33" s="43">
        <v>42174</v>
      </c>
      <c r="B33" s="43"/>
      <c r="C33" s="88" t="s">
        <v>33</v>
      </c>
      <c r="D33" s="23">
        <v>6</v>
      </c>
      <c r="E33" s="23">
        <v>12</v>
      </c>
      <c r="F33" s="38">
        <f t="shared" si="0"/>
        <v>0.5</v>
      </c>
      <c r="G33" s="23">
        <v>2</v>
      </c>
      <c r="H33" s="23">
        <v>5</v>
      </c>
      <c r="I33" s="38">
        <f t="shared" si="1"/>
        <v>0.4</v>
      </c>
      <c r="J33" s="23">
        <v>2</v>
      </c>
      <c r="K33" s="23">
        <v>2</v>
      </c>
      <c r="L33" s="38">
        <f t="shared" si="2"/>
        <v>1</v>
      </c>
      <c r="M33" s="23">
        <v>2</v>
      </c>
      <c r="N33" s="23">
        <v>2</v>
      </c>
      <c r="O33" s="23">
        <v>2</v>
      </c>
      <c r="P33" s="23">
        <v>2</v>
      </c>
      <c r="Q33" s="23">
        <v>0</v>
      </c>
      <c r="R33" s="25">
        <v>16</v>
      </c>
    </row>
    <row r="34" spans="1:18" x14ac:dyDescent="0.25">
      <c r="A34" s="43">
        <v>42174</v>
      </c>
      <c r="B34" s="43"/>
      <c r="C34" s="88" t="s">
        <v>34</v>
      </c>
      <c r="D34" s="23">
        <v>2</v>
      </c>
      <c r="E34" s="23">
        <v>6</v>
      </c>
      <c r="F34" s="38">
        <f t="shared" ref="F34:F65" si="3">IF(E34=0,0,D34/E34)</f>
        <v>0.33333333333333331</v>
      </c>
      <c r="G34" s="23">
        <v>2</v>
      </c>
      <c r="H34" s="23">
        <v>3</v>
      </c>
      <c r="I34" s="38">
        <f t="shared" ref="I34:I65" si="4">IF(H34=0,0,G34/H34)</f>
        <v>0.66666666666666663</v>
      </c>
      <c r="J34" s="23">
        <v>3</v>
      </c>
      <c r="K34" s="23">
        <v>4</v>
      </c>
      <c r="L34" s="38">
        <f t="shared" ref="L34:L65" si="5">IF(K34=0,0,J34/K34)</f>
        <v>0.75</v>
      </c>
      <c r="M34" s="23">
        <v>4</v>
      </c>
      <c r="N34" s="23">
        <v>1</v>
      </c>
      <c r="O34" s="23">
        <v>0</v>
      </c>
      <c r="P34" s="23">
        <v>5</v>
      </c>
      <c r="Q34" s="23">
        <v>1</v>
      </c>
      <c r="R34" s="25">
        <v>9</v>
      </c>
    </row>
    <row r="35" spans="1:18" x14ac:dyDescent="0.25">
      <c r="A35" s="43">
        <v>42174</v>
      </c>
      <c r="B35" s="43"/>
      <c r="C35" s="88" t="s">
        <v>100</v>
      </c>
      <c r="D35" s="23">
        <v>1</v>
      </c>
      <c r="E35" s="23">
        <v>2</v>
      </c>
      <c r="F35" s="38">
        <f t="shared" si="3"/>
        <v>0.5</v>
      </c>
      <c r="G35" s="23">
        <v>0</v>
      </c>
      <c r="H35" s="23">
        <v>0</v>
      </c>
      <c r="I35" s="38">
        <f t="shared" si="4"/>
        <v>0</v>
      </c>
      <c r="J35" s="23">
        <v>3</v>
      </c>
      <c r="K35" s="23">
        <v>4</v>
      </c>
      <c r="L35" s="38">
        <f t="shared" si="5"/>
        <v>0.75</v>
      </c>
      <c r="M35" s="23">
        <v>1</v>
      </c>
      <c r="N35" s="23">
        <v>1</v>
      </c>
      <c r="O35" s="23">
        <v>0</v>
      </c>
      <c r="P35" s="23">
        <v>2</v>
      </c>
      <c r="Q35" s="23">
        <v>0</v>
      </c>
      <c r="R35" s="25">
        <v>5</v>
      </c>
    </row>
    <row r="36" spans="1:18" x14ac:dyDescent="0.25">
      <c r="A36" s="43">
        <v>42174</v>
      </c>
      <c r="B36" s="43"/>
      <c r="C36" s="88" t="s">
        <v>32</v>
      </c>
      <c r="D36" s="23">
        <v>0</v>
      </c>
      <c r="E36" s="23">
        <v>1</v>
      </c>
      <c r="F36" s="38">
        <f t="shared" si="3"/>
        <v>0</v>
      </c>
      <c r="G36" s="23">
        <v>0</v>
      </c>
      <c r="H36" s="23">
        <v>0</v>
      </c>
      <c r="I36" s="38">
        <f t="shared" si="4"/>
        <v>0</v>
      </c>
      <c r="J36" s="23">
        <v>0</v>
      </c>
      <c r="K36" s="23">
        <v>0</v>
      </c>
      <c r="L36" s="38">
        <f t="shared" si="5"/>
        <v>0</v>
      </c>
      <c r="M36" s="23">
        <v>3</v>
      </c>
      <c r="N36" s="23">
        <v>0</v>
      </c>
      <c r="O36" s="23">
        <v>1</v>
      </c>
      <c r="P36" s="23">
        <v>2</v>
      </c>
      <c r="Q36" s="23">
        <v>0</v>
      </c>
      <c r="R36" s="25">
        <v>0</v>
      </c>
    </row>
    <row r="37" spans="1:18" x14ac:dyDescent="0.25">
      <c r="A37" s="43">
        <v>42174</v>
      </c>
      <c r="B37" s="43"/>
      <c r="C37" s="88" t="s">
        <v>29</v>
      </c>
      <c r="D37" s="23">
        <v>5</v>
      </c>
      <c r="E37" s="23">
        <v>13</v>
      </c>
      <c r="F37" s="38">
        <f t="shared" si="3"/>
        <v>0.38461538461538464</v>
      </c>
      <c r="G37" s="23">
        <v>2</v>
      </c>
      <c r="H37" s="23">
        <v>5</v>
      </c>
      <c r="I37" s="38">
        <f t="shared" si="4"/>
        <v>0.4</v>
      </c>
      <c r="J37" s="23">
        <v>2</v>
      </c>
      <c r="K37" s="23">
        <v>2</v>
      </c>
      <c r="L37" s="38">
        <f t="shared" si="5"/>
        <v>1</v>
      </c>
      <c r="M37" s="23">
        <v>4</v>
      </c>
      <c r="N37" s="23">
        <v>2</v>
      </c>
      <c r="O37" s="23">
        <v>5</v>
      </c>
      <c r="P37" s="23">
        <v>2</v>
      </c>
      <c r="Q37" s="23">
        <v>0</v>
      </c>
      <c r="R37" s="25">
        <v>14</v>
      </c>
    </row>
    <row r="38" spans="1:18" x14ac:dyDescent="0.25">
      <c r="A38" s="43">
        <v>42175</v>
      </c>
      <c r="B38" s="43"/>
      <c r="C38" s="88" t="s">
        <v>115</v>
      </c>
      <c r="D38" s="23">
        <v>0</v>
      </c>
      <c r="E38" s="23">
        <v>5</v>
      </c>
      <c r="F38" s="38">
        <f t="shared" si="3"/>
        <v>0</v>
      </c>
      <c r="G38" s="23">
        <v>0</v>
      </c>
      <c r="H38" s="23">
        <v>4</v>
      </c>
      <c r="I38" s="38">
        <f t="shared" si="4"/>
        <v>0</v>
      </c>
      <c r="J38" s="23">
        <v>0</v>
      </c>
      <c r="K38" s="23">
        <v>0</v>
      </c>
      <c r="L38" s="38">
        <f t="shared" si="5"/>
        <v>0</v>
      </c>
      <c r="M38" s="23">
        <v>0</v>
      </c>
      <c r="N38" s="23">
        <v>1</v>
      </c>
      <c r="O38" s="23">
        <v>1</v>
      </c>
      <c r="P38" s="23">
        <v>0</v>
      </c>
      <c r="Q38" s="23">
        <v>0</v>
      </c>
      <c r="R38" s="25">
        <v>0</v>
      </c>
    </row>
    <row r="39" spans="1:18" x14ac:dyDescent="0.25">
      <c r="A39" s="43">
        <v>42175</v>
      </c>
      <c r="B39" s="43"/>
      <c r="C39" s="88" t="s">
        <v>33</v>
      </c>
      <c r="D39" s="23">
        <v>3</v>
      </c>
      <c r="E39" s="23">
        <v>10</v>
      </c>
      <c r="F39" s="38">
        <f t="shared" si="3"/>
        <v>0.3</v>
      </c>
      <c r="G39" s="23">
        <v>2</v>
      </c>
      <c r="H39" s="23">
        <v>5</v>
      </c>
      <c r="I39" s="38">
        <f t="shared" si="4"/>
        <v>0.4</v>
      </c>
      <c r="J39" s="23">
        <v>0</v>
      </c>
      <c r="K39" s="23">
        <v>0</v>
      </c>
      <c r="L39" s="38">
        <f t="shared" si="5"/>
        <v>0</v>
      </c>
      <c r="M39" s="23">
        <v>2</v>
      </c>
      <c r="N39" s="23">
        <v>1</v>
      </c>
      <c r="O39" s="23">
        <v>1</v>
      </c>
      <c r="P39" s="23">
        <v>1</v>
      </c>
      <c r="Q39" s="23">
        <v>1</v>
      </c>
      <c r="R39" s="25">
        <v>8</v>
      </c>
    </row>
    <row r="40" spans="1:18" x14ac:dyDescent="0.25">
      <c r="A40" s="43">
        <v>42176</v>
      </c>
      <c r="B40" s="43"/>
      <c r="C40" s="88" t="s">
        <v>98</v>
      </c>
      <c r="D40" s="23">
        <v>6</v>
      </c>
      <c r="E40" s="23">
        <v>14</v>
      </c>
      <c r="F40" s="38">
        <f t="shared" si="3"/>
        <v>0.42857142857142855</v>
      </c>
      <c r="G40" s="23">
        <v>3</v>
      </c>
      <c r="H40" s="23">
        <v>6</v>
      </c>
      <c r="I40" s="38">
        <f t="shared" si="4"/>
        <v>0.5</v>
      </c>
      <c r="J40" s="23">
        <v>2</v>
      </c>
      <c r="K40" s="23">
        <v>5</v>
      </c>
      <c r="L40" s="38">
        <f t="shared" si="5"/>
        <v>0.4</v>
      </c>
      <c r="M40" s="23">
        <v>3</v>
      </c>
      <c r="N40" s="23">
        <v>5</v>
      </c>
      <c r="O40" s="23">
        <v>3</v>
      </c>
      <c r="P40" s="23">
        <v>1</v>
      </c>
      <c r="Q40" s="23">
        <v>0</v>
      </c>
      <c r="R40" s="25">
        <v>17</v>
      </c>
    </row>
    <row r="41" spans="1:18" x14ac:dyDescent="0.25">
      <c r="A41" s="43">
        <v>42176</v>
      </c>
      <c r="B41" s="43"/>
      <c r="C41" s="88" t="s">
        <v>100</v>
      </c>
      <c r="D41" s="23">
        <v>6</v>
      </c>
      <c r="E41" s="23">
        <v>8</v>
      </c>
      <c r="F41" s="38">
        <f t="shared" si="3"/>
        <v>0.75</v>
      </c>
      <c r="G41" s="23">
        <v>0</v>
      </c>
      <c r="H41" s="23">
        <v>0</v>
      </c>
      <c r="I41" s="38">
        <f t="shared" si="4"/>
        <v>0</v>
      </c>
      <c r="J41" s="23">
        <v>0</v>
      </c>
      <c r="K41" s="23">
        <v>0</v>
      </c>
      <c r="L41" s="38">
        <f t="shared" si="5"/>
        <v>0</v>
      </c>
      <c r="M41" s="23">
        <v>6</v>
      </c>
      <c r="N41" s="23">
        <v>1</v>
      </c>
      <c r="O41" s="23">
        <v>3</v>
      </c>
      <c r="P41" s="23">
        <v>2</v>
      </c>
      <c r="Q41" s="23">
        <v>5</v>
      </c>
      <c r="R41" s="25">
        <v>12</v>
      </c>
    </row>
    <row r="42" spans="1:18" x14ac:dyDescent="0.25">
      <c r="A42" s="43">
        <v>42176</v>
      </c>
      <c r="B42" s="43"/>
      <c r="C42" s="88" t="s">
        <v>29</v>
      </c>
      <c r="D42" s="23">
        <v>5</v>
      </c>
      <c r="E42" s="23">
        <v>14</v>
      </c>
      <c r="F42" s="38">
        <f t="shared" si="3"/>
        <v>0.35714285714285715</v>
      </c>
      <c r="G42" s="23">
        <v>1</v>
      </c>
      <c r="H42" s="23">
        <v>5</v>
      </c>
      <c r="I42" s="38">
        <f t="shared" si="4"/>
        <v>0.2</v>
      </c>
      <c r="J42" s="23">
        <v>5</v>
      </c>
      <c r="K42" s="23">
        <v>5</v>
      </c>
      <c r="L42" s="38">
        <f t="shared" si="5"/>
        <v>1</v>
      </c>
      <c r="M42" s="23">
        <v>8</v>
      </c>
      <c r="N42" s="23">
        <v>6</v>
      </c>
      <c r="O42" s="23">
        <v>2</v>
      </c>
      <c r="P42" s="23">
        <v>3</v>
      </c>
      <c r="Q42" s="23">
        <v>3</v>
      </c>
      <c r="R42" s="25">
        <v>16</v>
      </c>
    </row>
    <row r="43" spans="1:18" x14ac:dyDescent="0.25">
      <c r="A43" s="43">
        <v>42176</v>
      </c>
      <c r="B43" s="43"/>
      <c r="C43" s="88" t="s">
        <v>116</v>
      </c>
      <c r="D43" s="23">
        <v>0</v>
      </c>
      <c r="E43" s="23">
        <v>2</v>
      </c>
      <c r="F43" s="38">
        <f t="shared" si="3"/>
        <v>0</v>
      </c>
      <c r="G43" s="23">
        <v>0</v>
      </c>
      <c r="H43" s="23">
        <v>1</v>
      </c>
      <c r="I43" s="38">
        <f t="shared" si="4"/>
        <v>0</v>
      </c>
      <c r="J43" s="23">
        <v>0</v>
      </c>
      <c r="K43" s="23">
        <v>0</v>
      </c>
      <c r="L43" s="38">
        <f t="shared" si="5"/>
        <v>0</v>
      </c>
      <c r="M43" s="23">
        <v>1</v>
      </c>
      <c r="N43" s="23">
        <v>0</v>
      </c>
      <c r="O43" s="23">
        <v>1</v>
      </c>
      <c r="P43" s="23">
        <v>0</v>
      </c>
      <c r="Q43" s="23">
        <v>0</v>
      </c>
      <c r="R43" s="25">
        <v>0</v>
      </c>
    </row>
    <row r="44" spans="1:18" x14ac:dyDescent="0.25">
      <c r="A44" s="43">
        <v>42176</v>
      </c>
      <c r="B44" s="43"/>
      <c r="C44" s="88" t="s">
        <v>106</v>
      </c>
      <c r="D44" s="23">
        <v>5</v>
      </c>
      <c r="E44" s="23">
        <v>9</v>
      </c>
      <c r="F44" s="38">
        <f t="shared" si="3"/>
        <v>0.55555555555555558</v>
      </c>
      <c r="G44" s="23">
        <v>0</v>
      </c>
      <c r="H44" s="23">
        <v>2</v>
      </c>
      <c r="I44" s="38">
        <f t="shared" si="4"/>
        <v>0</v>
      </c>
      <c r="J44" s="23">
        <v>1</v>
      </c>
      <c r="K44" s="23">
        <v>2</v>
      </c>
      <c r="L44" s="38">
        <f t="shared" si="5"/>
        <v>0.5</v>
      </c>
      <c r="M44" s="23">
        <v>9</v>
      </c>
      <c r="N44" s="23">
        <v>1</v>
      </c>
      <c r="O44" s="23">
        <v>1</v>
      </c>
      <c r="P44" s="23">
        <v>0</v>
      </c>
      <c r="Q44" s="23">
        <v>1</v>
      </c>
      <c r="R44" s="25">
        <v>11</v>
      </c>
    </row>
    <row r="45" spans="1:18" x14ac:dyDescent="0.25">
      <c r="A45" s="43">
        <v>42176</v>
      </c>
      <c r="B45" s="43"/>
      <c r="C45" s="88" t="s">
        <v>34</v>
      </c>
      <c r="D45" s="23">
        <v>1</v>
      </c>
      <c r="E45" s="23">
        <v>5</v>
      </c>
      <c r="F45" s="38">
        <f t="shared" si="3"/>
        <v>0.2</v>
      </c>
      <c r="G45" s="23">
        <v>1</v>
      </c>
      <c r="H45" s="23">
        <v>3</v>
      </c>
      <c r="I45" s="38">
        <f t="shared" si="4"/>
        <v>0.33333333333333331</v>
      </c>
      <c r="J45" s="23">
        <v>0</v>
      </c>
      <c r="K45" s="23">
        <v>0</v>
      </c>
      <c r="L45" s="38">
        <f t="shared" si="5"/>
        <v>0</v>
      </c>
      <c r="M45" s="23">
        <v>0</v>
      </c>
      <c r="N45" s="23">
        <v>0</v>
      </c>
      <c r="O45" s="23">
        <v>1</v>
      </c>
      <c r="P45" s="23">
        <v>2</v>
      </c>
      <c r="Q45" s="23">
        <v>0</v>
      </c>
      <c r="R45" s="25">
        <v>3</v>
      </c>
    </row>
    <row r="46" spans="1:18" x14ac:dyDescent="0.25">
      <c r="A46" s="43">
        <v>42178</v>
      </c>
      <c r="B46" s="43"/>
      <c r="C46" s="88" t="s">
        <v>119</v>
      </c>
      <c r="D46" s="23">
        <v>0</v>
      </c>
      <c r="E46" s="23">
        <v>0</v>
      </c>
      <c r="F46" s="38">
        <f t="shared" si="3"/>
        <v>0</v>
      </c>
      <c r="G46" s="23">
        <v>0</v>
      </c>
      <c r="H46" s="23">
        <v>0</v>
      </c>
      <c r="I46" s="38">
        <f t="shared" si="4"/>
        <v>0</v>
      </c>
      <c r="J46" s="23">
        <v>0</v>
      </c>
      <c r="K46" s="23">
        <v>0</v>
      </c>
      <c r="L46" s="38">
        <f t="shared" si="5"/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5">
        <v>0</v>
      </c>
    </row>
    <row r="47" spans="1:18" x14ac:dyDescent="0.25">
      <c r="A47" s="43">
        <v>42180</v>
      </c>
      <c r="B47" s="43"/>
      <c r="C47" s="88" t="s">
        <v>106</v>
      </c>
      <c r="D47" s="23">
        <v>2</v>
      </c>
      <c r="E47" s="23">
        <v>6</v>
      </c>
      <c r="F47" s="38">
        <f t="shared" si="3"/>
        <v>0.33333333333333331</v>
      </c>
      <c r="G47" s="23">
        <v>0</v>
      </c>
      <c r="H47" s="23">
        <v>3</v>
      </c>
      <c r="I47" s="38">
        <f t="shared" si="4"/>
        <v>0</v>
      </c>
      <c r="J47" s="23">
        <v>0</v>
      </c>
      <c r="K47" s="23">
        <v>1</v>
      </c>
      <c r="L47" s="38">
        <f t="shared" si="5"/>
        <v>0</v>
      </c>
      <c r="M47" s="23">
        <v>3</v>
      </c>
      <c r="N47" s="23">
        <v>1</v>
      </c>
      <c r="O47" s="23">
        <v>2</v>
      </c>
      <c r="P47" s="23">
        <v>3</v>
      </c>
      <c r="Q47" s="23">
        <v>0</v>
      </c>
      <c r="R47" s="25">
        <v>4</v>
      </c>
    </row>
    <row r="48" spans="1:18" x14ac:dyDescent="0.25">
      <c r="A48" s="43">
        <v>42180</v>
      </c>
      <c r="B48" s="43"/>
      <c r="C48" s="88" t="s">
        <v>33</v>
      </c>
      <c r="D48" s="23">
        <v>3</v>
      </c>
      <c r="E48" s="23">
        <v>7</v>
      </c>
      <c r="F48" s="38">
        <f t="shared" si="3"/>
        <v>0.42857142857142855</v>
      </c>
      <c r="G48" s="23">
        <v>1</v>
      </c>
      <c r="H48" s="23">
        <v>2</v>
      </c>
      <c r="I48" s="38">
        <f t="shared" si="4"/>
        <v>0.5</v>
      </c>
      <c r="J48" s="23">
        <v>6</v>
      </c>
      <c r="K48" s="23">
        <v>8</v>
      </c>
      <c r="L48" s="38">
        <f t="shared" si="5"/>
        <v>0.75</v>
      </c>
      <c r="M48" s="23">
        <v>3</v>
      </c>
      <c r="N48" s="23">
        <v>2</v>
      </c>
      <c r="O48" s="23">
        <v>3</v>
      </c>
      <c r="P48" s="23">
        <v>4</v>
      </c>
      <c r="Q48" s="23">
        <v>0</v>
      </c>
      <c r="R48" s="25">
        <v>13</v>
      </c>
    </row>
    <row r="49" spans="1:18" x14ac:dyDescent="0.25">
      <c r="A49" s="43">
        <v>42180</v>
      </c>
      <c r="B49" s="43"/>
      <c r="C49" s="88" t="s">
        <v>34</v>
      </c>
      <c r="D49" s="23">
        <v>6</v>
      </c>
      <c r="E49" s="23">
        <v>10</v>
      </c>
      <c r="F49" s="38">
        <f t="shared" si="3"/>
        <v>0.6</v>
      </c>
      <c r="G49" s="23">
        <v>2</v>
      </c>
      <c r="H49" s="23">
        <v>6</v>
      </c>
      <c r="I49" s="38">
        <f t="shared" si="4"/>
        <v>0.33333333333333331</v>
      </c>
      <c r="J49" s="23">
        <v>1</v>
      </c>
      <c r="K49" s="23">
        <v>1</v>
      </c>
      <c r="L49" s="38">
        <f t="shared" si="5"/>
        <v>1</v>
      </c>
      <c r="M49" s="23">
        <v>2</v>
      </c>
      <c r="N49" s="23">
        <v>1</v>
      </c>
      <c r="O49" s="23">
        <v>2</v>
      </c>
      <c r="P49" s="23">
        <v>2</v>
      </c>
      <c r="Q49" s="23">
        <v>0</v>
      </c>
      <c r="R49" s="25">
        <v>15</v>
      </c>
    </row>
    <row r="50" spans="1:18" x14ac:dyDescent="0.25">
      <c r="A50" s="43">
        <v>42180</v>
      </c>
      <c r="B50" s="43"/>
      <c r="C50" s="88" t="s">
        <v>29</v>
      </c>
      <c r="D50" s="23">
        <v>4</v>
      </c>
      <c r="E50" s="23">
        <v>14</v>
      </c>
      <c r="F50" s="38">
        <f t="shared" si="3"/>
        <v>0.2857142857142857</v>
      </c>
      <c r="G50" s="23">
        <v>1</v>
      </c>
      <c r="H50" s="23">
        <v>5</v>
      </c>
      <c r="I50" s="38">
        <f t="shared" si="4"/>
        <v>0.2</v>
      </c>
      <c r="J50" s="23">
        <v>2</v>
      </c>
      <c r="K50" s="23">
        <v>3</v>
      </c>
      <c r="L50" s="38">
        <f t="shared" si="5"/>
        <v>0.66666666666666663</v>
      </c>
      <c r="M50" s="23">
        <v>7</v>
      </c>
      <c r="N50" s="23">
        <v>4</v>
      </c>
      <c r="O50" s="23">
        <v>1</v>
      </c>
      <c r="P50" s="23">
        <v>1</v>
      </c>
      <c r="Q50" s="23">
        <v>2</v>
      </c>
      <c r="R50" s="25">
        <v>11</v>
      </c>
    </row>
    <row r="51" spans="1:18" x14ac:dyDescent="0.25">
      <c r="A51" s="43">
        <v>42181</v>
      </c>
      <c r="B51" s="43"/>
      <c r="C51" s="88" t="s">
        <v>97</v>
      </c>
      <c r="D51" s="23">
        <v>2</v>
      </c>
      <c r="E51" s="23">
        <v>5</v>
      </c>
      <c r="F51" s="38">
        <f t="shared" si="3"/>
        <v>0.4</v>
      </c>
      <c r="G51" s="23">
        <v>0</v>
      </c>
      <c r="H51" s="23">
        <v>0</v>
      </c>
      <c r="I51" s="38">
        <f t="shared" si="4"/>
        <v>0</v>
      </c>
      <c r="J51" s="23">
        <v>3</v>
      </c>
      <c r="K51" s="23">
        <v>4</v>
      </c>
      <c r="L51" s="38">
        <f t="shared" si="5"/>
        <v>0.75</v>
      </c>
      <c r="M51" s="23">
        <v>4</v>
      </c>
      <c r="N51" s="23">
        <v>0</v>
      </c>
      <c r="O51" s="23">
        <v>0</v>
      </c>
      <c r="P51" s="23">
        <v>2</v>
      </c>
      <c r="Q51" s="23">
        <v>1</v>
      </c>
      <c r="R51" s="25">
        <v>7</v>
      </c>
    </row>
    <row r="52" spans="1:18" x14ac:dyDescent="0.25">
      <c r="A52" s="43">
        <v>42181</v>
      </c>
      <c r="B52" s="43"/>
      <c r="C52" s="88" t="s">
        <v>98</v>
      </c>
      <c r="D52" s="23">
        <v>3</v>
      </c>
      <c r="E52" s="23">
        <v>10</v>
      </c>
      <c r="F52" s="38">
        <f t="shared" si="3"/>
        <v>0.3</v>
      </c>
      <c r="G52" s="23">
        <v>3</v>
      </c>
      <c r="H52" s="23">
        <v>5</v>
      </c>
      <c r="I52" s="38">
        <f t="shared" si="4"/>
        <v>0.6</v>
      </c>
      <c r="J52" s="23">
        <v>2</v>
      </c>
      <c r="K52" s="23">
        <v>2</v>
      </c>
      <c r="L52" s="38">
        <f t="shared" si="5"/>
        <v>1</v>
      </c>
      <c r="M52" s="23">
        <v>3</v>
      </c>
      <c r="N52" s="23">
        <v>4</v>
      </c>
      <c r="O52" s="23">
        <v>1</v>
      </c>
      <c r="P52" s="23">
        <v>3</v>
      </c>
      <c r="Q52" s="23">
        <v>1</v>
      </c>
      <c r="R52" s="25">
        <v>11</v>
      </c>
    </row>
    <row r="53" spans="1:18" x14ac:dyDescent="0.25">
      <c r="A53" s="43">
        <v>42181</v>
      </c>
      <c r="B53" s="43"/>
      <c r="C53" s="88" t="s">
        <v>100</v>
      </c>
      <c r="D53" s="23">
        <v>4</v>
      </c>
      <c r="E53" s="23">
        <v>7</v>
      </c>
      <c r="F53" s="38">
        <f t="shared" si="3"/>
        <v>0.5714285714285714</v>
      </c>
      <c r="G53" s="23">
        <v>0</v>
      </c>
      <c r="H53" s="23">
        <v>0</v>
      </c>
      <c r="I53" s="38">
        <f t="shared" si="4"/>
        <v>0</v>
      </c>
      <c r="J53" s="23">
        <v>0</v>
      </c>
      <c r="K53" s="23">
        <v>0</v>
      </c>
      <c r="L53" s="38">
        <f t="shared" si="5"/>
        <v>0</v>
      </c>
      <c r="M53" s="23">
        <v>3</v>
      </c>
      <c r="N53" s="23">
        <v>1</v>
      </c>
      <c r="O53" s="23">
        <v>0</v>
      </c>
      <c r="P53" s="23">
        <v>1</v>
      </c>
      <c r="Q53" s="23">
        <v>2</v>
      </c>
      <c r="R53" s="25">
        <v>8</v>
      </c>
    </row>
    <row r="54" spans="1:18" x14ac:dyDescent="0.25">
      <c r="A54" s="43">
        <v>42182</v>
      </c>
      <c r="B54" s="43"/>
      <c r="C54" s="88" t="s">
        <v>29</v>
      </c>
      <c r="D54" s="23">
        <v>7</v>
      </c>
      <c r="E54" s="23">
        <v>16</v>
      </c>
      <c r="F54" s="38">
        <f t="shared" si="3"/>
        <v>0.4375</v>
      </c>
      <c r="G54" s="23">
        <v>4</v>
      </c>
      <c r="H54" s="23">
        <v>5</v>
      </c>
      <c r="I54" s="38">
        <f t="shared" si="4"/>
        <v>0.8</v>
      </c>
      <c r="J54" s="23">
        <v>3</v>
      </c>
      <c r="K54" s="23">
        <v>6</v>
      </c>
      <c r="L54" s="38">
        <f t="shared" si="5"/>
        <v>0.5</v>
      </c>
      <c r="M54" s="23">
        <v>5</v>
      </c>
      <c r="N54" s="23">
        <v>6</v>
      </c>
      <c r="O54" s="23">
        <v>5</v>
      </c>
      <c r="P54" s="23">
        <v>3</v>
      </c>
      <c r="Q54" s="23">
        <v>0</v>
      </c>
      <c r="R54" s="25">
        <v>21</v>
      </c>
    </row>
    <row r="55" spans="1:18" x14ac:dyDescent="0.25">
      <c r="A55" s="43">
        <v>42182</v>
      </c>
      <c r="B55" s="43"/>
      <c r="C55" s="88" t="s">
        <v>106</v>
      </c>
      <c r="D55" s="23">
        <v>3</v>
      </c>
      <c r="E55" s="23">
        <v>4</v>
      </c>
      <c r="F55" s="38">
        <f t="shared" si="3"/>
        <v>0.75</v>
      </c>
      <c r="G55" s="23">
        <v>0</v>
      </c>
      <c r="H55" s="23">
        <v>1</v>
      </c>
      <c r="I55" s="38">
        <f t="shared" si="4"/>
        <v>0</v>
      </c>
      <c r="J55" s="23">
        <v>0</v>
      </c>
      <c r="K55" s="23">
        <v>0</v>
      </c>
      <c r="L55" s="38">
        <f t="shared" si="5"/>
        <v>0</v>
      </c>
      <c r="M55" s="23">
        <v>2</v>
      </c>
      <c r="N55" s="23">
        <v>1</v>
      </c>
      <c r="O55" s="23">
        <v>3</v>
      </c>
      <c r="P55" s="23">
        <v>1</v>
      </c>
      <c r="Q55" s="23">
        <v>0</v>
      </c>
      <c r="R55" s="25">
        <v>6</v>
      </c>
    </row>
    <row r="56" spans="1:18" x14ac:dyDescent="0.25">
      <c r="A56" s="43">
        <v>42182</v>
      </c>
      <c r="B56" s="43"/>
      <c r="C56" s="88" t="s">
        <v>33</v>
      </c>
      <c r="D56" s="23">
        <v>5</v>
      </c>
      <c r="E56" s="23">
        <v>15</v>
      </c>
      <c r="F56" s="38">
        <f t="shared" si="3"/>
        <v>0.33333333333333331</v>
      </c>
      <c r="G56" s="23">
        <v>0</v>
      </c>
      <c r="H56" s="23">
        <v>6</v>
      </c>
      <c r="I56" s="38">
        <f t="shared" si="4"/>
        <v>0</v>
      </c>
      <c r="J56" s="23">
        <v>1</v>
      </c>
      <c r="K56" s="23">
        <v>2</v>
      </c>
      <c r="L56" s="38">
        <f t="shared" si="5"/>
        <v>0.5</v>
      </c>
      <c r="M56" s="23">
        <v>6</v>
      </c>
      <c r="N56" s="23">
        <v>3</v>
      </c>
      <c r="O56" s="23">
        <v>2</v>
      </c>
      <c r="P56" s="23">
        <v>0</v>
      </c>
      <c r="Q56" s="23">
        <v>0</v>
      </c>
      <c r="R56" s="25">
        <v>11</v>
      </c>
    </row>
    <row r="57" spans="1:18" x14ac:dyDescent="0.25">
      <c r="A57" s="21">
        <v>42182</v>
      </c>
      <c r="B57" s="20"/>
      <c r="C57" s="90" t="s">
        <v>34</v>
      </c>
      <c r="D57" s="16">
        <v>1</v>
      </c>
      <c r="E57" s="16">
        <v>3</v>
      </c>
      <c r="F57" s="19">
        <f t="shared" si="3"/>
        <v>0.33333333333333331</v>
      </c>
      <c r="G57" s="16">
        <v>0</v>
      </c>
      <c r="H57" s="16">
        <v>1</v>
      </c>
      <c r="I57" s="19">
        <f t="shared" si="4"/>
        <v>0</v>
      </c>
      <c r="J57" s="16">
        <v>0</v>
      </c>
      <c r="K57" s="16">
        <v>0</v>
      </c>
      <c r="L57" s="19">
        <f t="shared" si="5"/>
        <v>0</v>
      </c>
      <c r="M57" s="16">
        <v>4</v>
      </c>
      <c r="N57" s="16">
        <v>3</v>
      </c>
      <c r="O57" s="16">
        <v>0</v>
      </c>
      <c r="P57" s="16">
        <v>2</v>
      </c>
      <c r="Q57" s="16">
        <v>0</v>
      </c>
      <c r="R57" s="16">
        <v>2</v>
      </c>
    </row>
    <row r="58" spans="1:18" x14ac:dyDescent="0.25">
      <c r="A58" s="21">
        <v>42183</v>
      </c>
      <c r="B58" s="20"/>
      <c r="C58" s="90" t="s">
        <v>124</v>
      </c>
      <c r="D58" s="16">
        <v>9</v>
      </c>
      <c r="E58" s="16">
        <v>15</v>
      </c>
      <c r="F58" s="19">
        <f t="shared" si="3"/>
        <v>0.6</v>
      </c>
      <c r="G58" s="16">
        <v>3</v>
      </c>
      <c r="H58" s="16">
        <v>5</v>
      </c>
      <c r="I58" s="19">
        <f t="shared" si="4"/>
        <v>0.6</v>
      </c>
      <c r="J58" s="16">
        <v>9</v>
      </c>
      <c r="K58" s="16">
        <v>9</v>
      </c>
      <c r="L58" s="19">
        <f t="shared" si="5"/>
        <v>1</v>
      </c>
      <c r="M58" s="16">
        <v>0</v>
      </c>
      <c r="N58" s="16">
        <v>2</v>
      </c>
      <c r="O58" s="16">
        <v>1</v>
      </c>
      <c r="P58" s="16">
        <v>2</v>
      </c>
      <c r="Q58" s="16">
        <v>0</v>
      </c>
      <c r="R58" s="16">
        <v>30</v>
      </c>
    </row>
    <row r="59" spans="1:18" x14ac:dyDescent="0.25">
      <c r="A59" s="21">
        <v>42183</v>
      </c>
      <c r="B59" s="20"/>
      <c r="C59" s="90" t="s">
        <v>100</v>
      </c>
      <c r="D59" s="16">
        <v>1</v>
      </c>
      <c r="E59" s="16">
        <v>1</v>
      </c>
      <c r="F59" s="19">
        <f t="shared" si="3"/>
        <v>1</v>
      </c>
      <c r="G59" s="16">
        <v>0</v>
      </c>
      <c r="H59" s="16">
        <v>0</v>
      </c>
      <c r="I59" s="19">
        <f t="shared" si="4"/>
        <v>0</v>
      </c>
      <c r="J59" s="16">
        <v>1</v>
      </c>
      <c r="K59" s="16">
        <v>2</v>
      </c>
      <c r="L59" s="19">
        <f t="shared" si="5"/>
        <v>0.5</v>
      </c>
      <c r="M59" s="16">
        <v>1</v>
      </c>
      <c r="N59" s="16">
        <v>0</v>
      </c>
      <c r="O59" s="16">
        <v>1</v>
      </c>
      <c r="P59" s="16">
        <v>0</v>
      </c>
      <c r="Q59" s="16">
        <v>0</v>
      </c>
      <c r="R59" s="16">
        <v>3</v>
      </c>
    </row>
    <row r="60" spans="1:18" x14ac:dyDescent="0.25">
      <c r="A60" s="21">
        <v>42183</v>
      </c>
      <c r="B60" s="20"/>
      <c r="C60" s="90" t="s">
        <v>106</v>
      </c>
      <c r="D60" s="16">
        <v>4</v>
      </c>
      <c r="E60" s="16">
        <v>8</v>
      </c>
      <c r="F60" s="19">
        <f t="shared" si="3"/>
        <v>0.5</v>
      </c>
      <c r="G60" s="16">
        <v>2</v>
      </c>
      <c r="H60" s="16">
        <v>5</v>
      </c>
      <c r="I60" s="19">
        <f t="shared" si="4"/>
        <v>0.4</v>
      </c>
      <c r="J60" s="16">
        <v>1</v>
      </c>
      <c r="K60" s="16">
        <v>1</v>
      </c>
      <c r="L60" s="19">
        <f t="shared" si="5"/>
        <v>1</v>
      </c>
      <c r="M60" s="16">
        <v>1</v>
      </c>
      <c r="N60" s="16">
        <v>2</v>
      </c>
      <c r="O60" s="16">
        <v>0</v>
      </c>
      <c r="P60" s="16">
        <v>1</v>
      </c>
      <c r="Q60" s="16">
        <v>0</v>
      </c>
      <c r="R60" s="16">
        <v>11</v>
      </c>
    </row>
    <row r="61" spans="1:18" x14ac:dyDescent="0.25">
      <c r="A61" s="21">
        <v>42183</v>
      </c>
      <c r="B61" s="20"/>
      <c r="C61" s="90" t="s">
        <v>98</v>
      </c>
      <c r="D61" s="16">
        <v>6</v>
      </c>
      <c r="E61" s="16">
        <v>12</v>
      </c>
      <c r="F61" s="19">
        <f t="shared" si="3"/>
        <v>0.5</v>
      </c>
      <c r="G61" s="16">
        <v>3</v>
      </c>
      <c r="H61" s="16">
        <v>7</v>
      </c>
      <c r="I61" s="19">
        <f t="shared" si="4"/>
        <v>0.42857142857142855</v>
      </c>
      <c r="J61" s="16">
        <v>4</v>
      </c>
      <c r="K61" s="16">
        <v>4</v>
      </c>
      <c r="L61" s="19">
        <f t="shared" si="5"/>
        <v>1</v>
      </c>
      <c r="M61" s="16">
        <v>1</v>
      </c>
      <c r="N61" s="16">
        <v>1</v>
      </c>
      <c r="O61" s="16">
        <v>3</v>
      </c>
      <c r="P61" s="16">
        <v>0</v>
      </c>
      <c r="Q61" s="16">
        <v>0</v>
      </c>
      <c r="R61" s="16">
        <v>19</v>
      </c>
    </row>
    <row r="62" spans="1:18" x14ac:dyDescent="0.25">
      <c r="A62" s="21">
        <v>42185</v>
      </c>
      <c r="B62" s="20"/>
      <c r="C62" s="90" t="s">
        <v>97</v>
      </c>
      <c r="D62" s="16">
        <v>4</v>
      </c>
      <c r="E62" s="16">
        <v>7</v>
      </c>
      <c r="F62" s="46">
        <f t="shared" si="3"/>
        <v>0.5714285714285714</v>
      </c>
      <c r="G62" s="16">
        <v>0</v>
      </c>
      <c r="H62" s="16">
        <v>0</v>
      </c>
      <c r="I62" s="46">
        <f t="shared" si="4"/>
        <v>0</v>
      </c>
      <c r="J62" s="16">
        <v>2</v>
      </c>
      <c r="K62" s="16">
        <v>2</v>
      </c>
      <c r="L62" s="46">
        <f t="shared" si="5"/>
        <v>1</v>
      </c>
      <c r="M62" s="16">
        <v>6</v>
      </c>
      <c r="N62" s="16">
        <v>1</v>
      </c>
      <c r="O62" s="16">
        <v>0</v>
      </c>
      <c r="P62" s="16">
        <v>2</v>
      </c>
      <c r="Q62" s="16">
        <v>1</v>
      </c>
      <c r="R62" s="16">
        <v>10</v>
      </c>
    </row>
    <row r="63" spans="1:18" x14ac:dyDescent="0.25">
      <c r="A63" s="21">
        <v>42185</v>
      </c>
      <c r="B63" s="20"/>
      <c r="C63" s="90" t="s">
        <v>34</v>
      </c>
      <c r="D63" s="16">
        <v>6</v>
      </c>
      <c r="E63" s="16">
        <v>8</v>
      </c>
      <c r="F63" s="46">
        <f t="shared" si="3"/>
        <v>0.75</v>
      </c>
      <c r="G63" s="16">
        <v>4</v>
      </c>
      <c r="H63" s="16">
        <v>5</v>
      </c>
      <c r="I63" s="46">
        <f t="shared" si="4"/>
        <v>0.8</v>
      </c>
      <c r="J63" s="16">
        <v>0</v>
      </c>
      <c r="K63" s="16">
        <v>0</v>
      </c>
      <c r="L63" s="46">
        <f t="shared" si="5"/>
        <v>0</v>
      </c>
      <c r="M63" s="16">
        <v>2</v>
      </c>
      <c r="N63" s="16">
        <v>2</v>
      </c>
      <c r="O63" s="16">
        <v>1</v>
      </c>
      <c r="P63" s="16">
        <v>2</v>
      </c>
      <c r="Q63" s="16">
        <v>0</v>
      </c>
      <c r="R63" s="16">
        <v>16</v>
      </c>
    </row>
    <row r="64" spans="1:18" x14ac:dyDescent="0.25">
      <c r="A64" s="21">
        <v>42185</v>
      </c>
      <c r="B64" s="20"/>
      <c r="C64" s="90" t="s">
        <v>100</v>
      </c>
      <c r="D64" s="16">
        <v>0</v>
      </c>
      <c r="E64" s="16">
        <v>1</v>
      </c>
      <c r="F64" s="46">
        <f t="shared" si="3"/>
        <v>0</v>
      </c>
      <c r="G64" s="16">
        <v>0</v>
      </c>
      <c r="H64" s="16">
        <v>0</v>
      </c>
      <c r="I64" s="46">
        <f t="shared" si="4"/>
        <v>0</v>
      </c>
      <c r="J64" s="16">
        <v>2</v>
      </c>
      <c r="K64" s="16">
        <v>2</v>
      </c>
      <c r="L64" s="46">
        <f t="shared" si="5"/>
        <v>1</v>
      </c>
      <c r="M64" s="16">
        <v>5</v>
      </c>
      <c r="N64" s="16">
        <v>1</v>
      </c>
      <c r="O64" s="16">
        <v>1</v>
      </c>
      <c r="P64" s="16">
        <v>2</v>
      </c>
      <c r="Q64" s="16">
        <v>0</v>
      </c>
      <c r="R64" s="16">
        <v>2</v>
      </c>
    </row>
    <row r="65" spans="1:18" x14ac:dyDescent="0.25">
      <c r="A65" s="21">
        <v>42185</v>
      </c>
      <c r="B65" s="20"/>
      <c r="C65" s="90" t="s">
        <v>98</v>
      </c>
      <c r="D65" s="16">
        <v>6</v>
      </c>
      <c r="E65" s="16">
        <v>15</v>
      </c>
      <c r="F65" s="46">
        <f t="shared" si="3"/>
        <v>0.4</v>
      </c>
      <c r="G65" s="16">
        <v>3</v>
      </c>
      <c r="H65" s="16">
        <v>8</v>
      </c>
      <c r="I65" s="46">
        <f t="shared" si="4"/>
        <v>0.375</v>
      </c>
      <c r="J65" s="16">
        <v>8</v>
      </c>
      <c r="K65" s="16">
        <v>9</v>
      </c>
      <c r="L65" s="46">
        <f t="shared" si="5"/>
        <v>0.88888888888888884</v>
      </c>
      <c r="M65" s="16">
        <v>6</v>
      </c>
      <c r="N65" s="16">
        <v>4</v>
      </c>
      <c r="O65" s="16">
        <v>1</v>
      </c>
      <c r="P65" s="16">
        <v>1</v>
      </c>
      <c r="Q65" s="16">
        <v>0</v>
      </c>
      <c r="R65" s="16">
        <v>23</v>
      </c>
    </row>
    <row r="66" spans="1:18" x14ac:dyDescent="0.25">
      <c r="A66" s="21">
        <v>42185</v>
      </c>
      <c r="B66" s="20"/>
      <c r="C66" s="90" t="s">
        <v>106</v>
      </c>
      <c r="D66" s="16">
        <v>1</v>
      </c>
      <c r="E66" s="16">
        <v>3</v>
      </c>
      <c r="F66" s="46">
        <f t="shared" ref="F66:F97" si="6">IF(E66=0,0,D66/E66)</f>
        <v>0.33333333333333331</v>
      </c>
      <c r="G66" s="16">
        <v>0</v>
      </c>
      <c r="H66" s="16">
        <v>1</v>
      </c>
      <c r="I66" s="46">
        <f t="shared" ref="I66:I97" si="7">IF(H66=0,0,G66/H66)</f>
        <v>0</v>
      </c>
      <c r="J66" s="16">
        <v>2</v>
      </c>
      <c r="K66" s="16">
        <v>2</v>
      </c>
      <c r="L66" s="46">
        <f t="shared" ref="L66:L97" si="8">IF(K66=0,0,J66/K66)</f>
        <v>1</v>
      </c>
      <c r="M66" s="16">
        <v>5</v>
      </c>
      <c r="N66" s="16">
        <v>1</v>
      </c>
      <c r="O66" s="16">
        <v>0</v>
      </c>
      <c r="P66" s="16">
        <v>2</v>
      </c>
      <c r="Q66" s="16">
        <v>1</v>
      </c>
      <c r="R66" s="16">
        <v>4</v>
      </c>
    </row>
    <row r="67" spans="1:18" x14ac:dyDescent="0.25">
      <c r="A67" s="21">
        <v>42187</v>
      </c>
      <c r="B67" s="20"/>
      <c r="C67" s="90" t="s">
        <v>124</v>
      </c>
      <c r="D67" s="16">
        <v>6</v>
      </c>
      <c r="E67" s="16">
        <v>10</v>
      </c>
      <c r="F67" s="46">
        <f t="shared" si="6"/>
        <v>0.6</v>
      </c>
      <c r="G67" s="16">
        <v>1</v>
      </c>
      <c r="H67" s="16">
        <v>3</v>
      </c>
      <c r="I67" s="46">
        <f t="shared" si="7"/>
        <v>0.33333333333333331</v>
      </c>
      <c r="J67" s="16">
        <v>2</v>
      </c>
      <c r="K67" s="16">
        <v>2</v>
      </c>
      <c r="L67" s="46">
        <f t="shared" si="8"/>
        <v>1</v>
      </c>
      <c r="M67" s="16">
        <v>2</v>
      </c>
      <c r="N67" s="16">
        <v>2</v>
      </c>
      <c r="O67" s="16">
        <v>1</v>
      </c>
      <c r="P67" s="16">
        <v>2</v>
      </c>
      <c r="Q67" s="16">
        <v>0</v>
      </c>
      <c r="R67" s="16">
        <v>15</v>
      </c>
    </row>
    <row r="68" spans="1:18" x14ac:dyDescent="0.25">
      <c r="A68" s="21">
        <v>42187</v>
      </c>
      <c r="B68" s="20"/>
      <c r="C68" s="90" t="s">
        <v>97</v>
      </c>
      <c r="D68" s="16">
        <v>2</v>
      </c>
      <c r="E68" s="16">
        <v>6</v>
      </c>
      <c r="F68" s="46">
        <f t="shared" si="6"/>
        <v>0.33333333333333331</v>
      </c>
      <c r="G68" s="16">
        <v>0</v>
      </c>
      <c r="H68" s="16">
        <v>0</v>
      </c>
      <c r="I68" s="46">
        <f t="shared" si="7"/>
        <v>0</v>
      </c>
      <c r="J68" s="16">
        <v>2</v>
      </c>
      <c r="K68" s="16">
        <v>2</v>
      </c>
      <c r="L68" s="46">
        <f t="shared" si="8"/>
        <v>1</v>
      </c>
      <c r="M68" s="16">
        <v>5</v>
      </c>
      <c r="N68" s="16">
        <v>0</v>
      </c>
      <c r="O68" s="16">
        <v>0</v>
      </c>
      <c r="P68" s="16">
        <v>1</v>
      </c>
      <c r="Q68" s="16">
        <v>0</v>
      </c>
      <c r="R68" s="16">
        <v>6</v>
      </c>
    </row>
    <row r="69" spans="1:18" x14ac:dyDescent="0.25">
      <c r="A69" s="21">
        <v>42187</v>
      </c>
      <c r="B69" s="20"/>
      <c r="C69" s="90" t="s">
        <v>113</v>
      </c>
      <c r="D69" s="16">
        <v>1</v>
      </c>
      <c r="E69" s="16">
        <v>2</v>
      </c>
      <c r="F69" s="46">
        <f t="shared" si="6"/>
        <v>0.5</v>
      </c>
      <c r="G69" s="16">
        <v>0</v>
      </c>
      <c r="H69" s="16">
        <v>0</v>
      </c>
      <c r="I69" s="46">
        <f t="shared" si="7"/>
        <v>0</v>
      </c>
      <c r="J69" s="16">
        <v>4</v>
      </c>
      <c r="K69" s="16">
        <v>6</v>
      </c>
      <c r="L69" s="46">
        <f t="shared" si="8"/>
        <v>0.66666666666666663</v>
      </c>
      <c r="M69" s="16">
        <v>1</v>
      </c>
      <c r="N69" s="16">
        <v>0</v>
      </c>
      <c r="O69" s="16">
        <v>1</v>
      </c>
      <c r="P69" s="16">
        <v>1</v>
      </c>
      <c r="Q69" s="16">
        <v>1</v>
      </c>
      <c r="R69" s="16">
        <v>6</v>
      </c>
    </row>
    <row r="70" spans="1:18" x14ac:dyDescent="0.25">
      <c r="A70" s="21">
        <v>42187</v>
      </c>
      <c r="B70" s="20"/>
      <c r="C70" s="90" t="s">
        <v>98</v>
      </c>
      <c r="D70" s="16">
        <v>3</v>
      </c>
      <c r="E70" s="16">
        <v>13</v>
      </c>
      <c r="F70" s="46">
        <f t="shared" si="6"/>
        <v>0.23076923076923078</v>
      </c>
      <c r="G70" s="16">
        <v>1</v>
      </c>
      <c r="H70" s="16">
        <v>3</v>
      </c>
      <c r="I70" s="46">
        <f t="shared" si="7"/>
        <v>0.33333333333333331</v>
      </c>
      <c r="J70" s="16">
        <v>0</v>
      </c>
      <c r="K70" s="16">
        <v>0</v>
      </c>
      <c r="L70" s="46">
        <f t="shared" si="8"/>
        <v>0</v>
      </c>
      <c r="M70" s="16">
        <v>0</v>
      </c>
      <c r="N70" s="16">
        <v>1</v>
      </c>
      <c r="O70" s="16">
        <v>0</v>
      </c>
      <c r="P70" s="16">
        <v>2</v>
      </c>
      <c r="Q70" s="16">
        <v>1</v>
      </c>
      <c r="R70" s="16">
        <v>7</v>
      </c>
    </row>
    <row r="71" spans="1:18" x14ac:dyDescent="0.25">
      <c r="A71" s="21">
        <v>42187</v>
      </c>
      <c r="B71" s="20"/>
      <c r="C71" s="90" t="s">
        <v>34</v>
      </c>
      <c r="D71" s="16">
        <v>1</v>
      </c>
      <c r="E71" s="16">
        <v>2</v>
      </c>
      <c r="F71" s="46">
        <f t="shared" si="6"/>
        <v>0.5</v>
      </c>
      <c r="G71" s="16">
        <v>0</v>
      </c>
      <c r="H71" s="16">
        <v>1</v>
      </c>
      <c r="I71" s="46">
        <f t="shared" si="7"/>
        <v>0</v>
      </c>
      <c r="J71" s="16">
        <v>1</v>
      </c>
      <c r="K71" s="16">
        <v>1</v>
      </c>
      <c r="L71" s="46">
        <f t="shared" si="8"/>
        <v>1</v>
      </c>
      <c r="M71" s="16">
        <v>1</v>
      </c>
      <c r="N71" s="16">
        <v>3</v>
      </c>
      <c r="O71" s="16">
        <v>0</v>
      </c>
      <c r="P71" s="16">
        <v>0</v>
      </c>
      <c r="Q71" s="16">
        <v>0</v>
      </c>
      <c r="R71" s="16">
        <v>3</v>
      </c>
    </row>
    <row r="72" spans="1:18" x14ac:dyDescent="0.25">
      <c r="A72" s="21">
        <v>42188</v>
      </c>
      <c r="B72" s="20"/>
      <c r="C72" s="90" t="s">
        <v>29</v>
      </c>
      <c r="D72" s="16">
        <v>10</v>
      </c>
      <c r="E72" s="16">
        <v>14</v>
      </c>
      <c r="F72" s="46">
        <f t="shared" si="6"/>
        <v>0.7142857142857143</v>
      </c>
      <c r="G72" s="16">
        <v>2</v>
      </c>
      <c r="H72" s="16">
        <v>4</v>
      </c>
      <c r="I72" s="46">
        <f t="shared" si="7"/>
        <v>0.5</v>
      </c>
      <c r="J72" s="16">
        <v>1</v>
      </c>
      <c r="K72" s="16">
        <v>1</v>
      </c>
      <c r="L72" s="46">
        <f t="shared" si="8"/>
        <v>1</v>
      </c>
      <c r="M72" s="16">
        <v>11</v>
      </c>
      <c r="N72" s="16">
        <v>2</v>
      </c>
      <c r="O72" s="16">
        <v>0</v>
      </c>
      <c r="P72" s="16">
        <v>3</v>
      </c>
      <c r="Q72" s="16">
        <v>0</v>
      </c>
      <c r="R72" s="16">
        <v>23</v>
      </c>
    </row>
    <row r="73" spans="1:18" x14ac:dyDescent="0.25">
      <c r="A73" s="21">
        <v>42188</v>
      </c>
      <c r="B73" s="20"/>
      <c r="C73" s="90" t="s">
        <v>98</v>
      </c>
      <c r="D73" s="16">
        <v>6</v>
      </c>
      <c r="E73" s="16">
        <v>19</v>
      </c>
      <c r="F73" s="46">
        <f t="shared" si="6"/>
        <v>0.31578947368421051</v>
      </c>
      <c r="G73" s="16">
        <v>3</v>
      </c>
      <c r="H73" s="16">
        <v>9</v>
      </c>
      <c r="I73" s="46">
        <f t="shared" si="7"/>
        <v>0.33333333333333331</v>
      </c>
      <c r="J73" s="16">
        <v>7</v>
      </c>
      <c r="K73" s="16">
        <v>10</v>
      </c>
      <c r="L73" s="46">
        <f t="shared" si="8"/>
        <v>0.7</v>
      </c>
      <c r="M73" s="16">
        <v>7</v>
      </c>
      <c r="N73" s="16">
        <v>3</v>
      </c>
      <c r="O73" s="16">
        <v>3</v>
      </c>
      <c r="P73" s="16">
        <v>3</v>
      </c>
      <c r="Q73" s="16">
        <v>0</v>
      </c>
      <c r="R73" s="16">
        <v>22</v>
      </c>
    </row>
    <row r="74" spans="1:18" x14ac:dyDescent="0.25">
      <c r="A74" s="21">
        <v>42188</v>
      </c>
      <c r="B74" s="20"/>
      <c r="C74" s="90" t="s">
        <v>124</v>
      </c>
      <c r="D74" s="16">
        <v>15</v>
      </c>
      <c r="E74" s="16">
        <v>24</v>
      </c>
      <c r="F74" s="46">
        <f t="shared" si="6"/>
        <v>0.625</v>
      </c>
      <c r="G74" s="16">
        <v>7</v>
      </c>
      <c r="H74" s="16">
        <v>12</v>
      </c>
      <c r="I74" s="46">
        <f t="shared" si="7"/>
        <v>0.58333333333333337</v>
      </c>
      <c r="J74" s="16">
        <v>6</v>
      </c>
      <c r="K74" s="16">
        <v>6</v>
      </c>
      <c r="L74" s="46">
        <f t="shared" si="8"/>
        <v>1</v>
      </c>
      <c r="M74" s="16">
        <v>1</v>
      </c>
      <c r="N74" s="16">
        <v>9</v>
      </c>
      <c r="O74" s="16">
        <v>1</v>
      </c>
      <c r="P74" s="16">
        <v>4</v>
      </c>
      <c r="Q74" s="16">
        <v>0</v>
      </c>
      <c r="R74" s="16">
        <v>43</v>
      </c>
    </row>
    <row r="75" spans="1:18" x14ac:dyDescent="0.25">
      <c r="A75" s="21">
        <v>42188</v>
      </c>
      <c r="B75" s="20"/>
      <c r="C75" s="90" t="s">
        <v>113</v>
      </c>
      <c r="D75" s="16">
        <v>5</v>
      </c>
      <c r="E75" s="16">
        <v>7</v>
      </c>
      <c r="F75" s="46">
        <f t="shared" si="6"/>
        <v>0.7142857142857143</v>
      </c>
      <c r="G75" s="16">
        <v>0</v>
      </c>
      <c r="H75" s="16">
        <v>0</v>
      </c>
      <c r="I75" s="46">
        <f t="shared" si="7"/>
        <v>0</v>
      </c>
      <c r="J75" s="16">
        <v>2</v>
      </c>
      <c r="K75" s="16">
        <v>2</v>
      </c>
      <c r="L75" s="46">
        <f t="shared" si="8"/>
        <v>1</v>
      </c>
      <c r="M75" s="16">
        <v>3</v>
      </c>
      <c r="N75" s="16">
        <v>2</v>
      </c>
      <c r="O75" s="16">
        <v>0</v>
      </c>
      <c r="P75" s="16">
        <v>0</v>
      </c>
      <c r="Q75" s="16">
        <v>1</v>
      </c>
      <c r="R75" s="16">
        <v>12</v>
      </c>
    </row>
    <row r="76" spans="1:18" x14ac:dyDescent="0.25">
      <c r="A76" s="21">
        <v>42188</v>
      </c>
      <c r="B76" s="20"/>
      <c r="C76" s="90" t="s">
        <v>106</v>
      </c>
      <c r="D76" s="16">
        <v>3</v>
      </c>
      <c r="E76" s="16">
        <v>5</v>
      </c>
      <c r="F76" s="46">
        <f t="shared" si="6"/>
        <v>0.6</v>
      </c>
      <c r="G76" s="16">
        <v>0</v>
      </c>
      <c r="H76" s="16">
        <v>2</v>
      </c>
      <c r="I76" s="46">
        <f t="shared" si="7"/>
        <v>0</v>
      </c>
      <c r="J76" s="16">
        <v>0</v>
      </c>
      <c r="K76" s="16">
        <v>0</v>
      </c>
      <c r="L76" s="46">
        <f t="shared" si="8"/>
        <v>0</v>
      </c>
      <c r="M76" s="16">
        <v>4</v>
      </c>
      <c r="N76" s="16">
        <v>0</v>
      </c>
      <c r="O76" s="16">
        <v>0</v>
      </c>
      <c r="P76" s="16">
        <v>0</v>
      </c>
      <c r="Q76" s="16">
        <v>0</v>
      </c>
      <c r="R76" s="16">
        <v>6</v>
      </c>
    </row>
    <row r="77" spans="1:18" x14ac:dyDescent="0.25">
      <c r="A77" s="43">
        <v>42190</v>
      </c>
      <c r="B77" s="43"/>
      <c r="C77" s="88" t="s">
        <v>113</v>
      </c>
      <c r="D77" s="23">
        <v>4</v>
      </c>
      <c r="E77" s="23">
        <v>8</v>
      </c>
      <c r="F77" s="38">
        <f t="shared" si="6"/>
        <v>0.5</v>
      </c>
      <c r="G77" s="23">
        <v>0</v>
      </c>
      <c r="H77" s="23">
        <v>1</v>
      </c>
      <c r="I77" s="38">
        <f t="shared" si="7"/>
        <v>0</v>
      </c>
      <c r="J77" s="23">
        <v>2</v>
      </c>
      <c r="K77" s="23">
        <v>2</v>
      </c>
      <c r="L77" s="38">
        <f t="shared" si="8"/>
        <v>1</v>
      </c>
      <c r="M77" s="23">
        <v>4</v>
      </c>
      <c r="N77" s="23">
        <v>4</v>
      </c>
      <c r="O77" s="23">
        <v>0</v>
      </c>
      <c r="P77" s="23">
        <v>2</v>
      </c>
      <c r="Q77" s="23">
        <v>3</v>
      </c>
      <c r="R77" s="25">
        <v>10</v>
      </c>
    </row>
    <row r="78" spans="1:18" x14ac:dyDescent="0.25">
      <c r="A78" s="43">
        <v>42190</v>
      </c>
      <c r="B78" s="43"/>
      <c r="C78" s="88" t="s">
        <v>124</v>
      </c>
      <c r="D78" s="23">
        <v>5</v>
      </c>
      <c r="E78" s="23">
        <v>13</v>
      </c>
      <c r="F78" s="38">
        <f t="shared" si="6"/>
        <v>0.38461538461538464</v>
      </c>
      <c r="G78" s="23">
        <v>4</v>
      </c>
      <c r="H78" s="23">
        <v>9</v>
      </c>
      <c r="I78" s="38">
        <f t="shared" si="7"/>
        <v>0.44444444444444442</v>
      </c>
      <c r="J78" s="23">
        <v>2</v>
      </c>
      <c r="K78" s="23">
        <v>2</v>
      </c>
      <c r="L78" s="38">
        <f t="shared" si="8"/>
        <v>1</v>
      </c>
      <c r="M78" s="23">
        <v>4</v>
      </c>
      <c r="N78" s="23">
        <v>8</v>
      </c>
      <c r="O78" s="23">
        <v>0</v>
      </c>
      <c r="P78" s="23">
        <v>2</v>
      </c>
      <c r="Q78" s="23">
        <v>0</v>
      </c>
      <c r="R78" s="25">
        <v>16</v>
      </c>
    </row>
    <row r="79" spans="1:18" x14ac:dyDescent="0.25">
      <c r="A79" s="43">
        <v>42190</v>
      </c>
      <c r="B79" s="43"/>
      <c r="C79" s="88" t="s">
        <v>106</v>
      </c>
      <c r="D79" s="23">
        <v>4</v>
      </c>
      <c r="E79" s="23">
        <v>6</v>
      </c>
      <c r="F79" s="38">
        <f t="shared" si="6"/>
        <v>0.66666666666666663</v>
      </c>
      <c r="G79" s="23">
        <v>1</v>
      </c>
      <c r="H79" s="23">
        <v>2</v>
      </c>
      <c r="I79" s="38">
        <f t="shared" si="7"/>
        <v>0.5</v>
      </c>
      <c r="J79" s="23">
        <v>2</v>
      </c>
      <c r="K79" s="23">
        <v>3</v>
      </c>
      <c r="L79" s="38">
        <f t="shared" si="8"/>
        <v>0.66666666666666663</v>
      </c>
      <c r="M79" s="23">
        <v>4</v>
      </c>
      <c r="N79" s="23">
        <v>3</v>
      </c>
      <c r="O79" s="23">
        <v>2</v>
      </c>
      <c r="P79" s="23">
        <v>1</v>
      </c>
      <c r="Q79" s="23">
        <v>0</v>
      </c>
      <c r="R79" s="25">
        <v>11</v>
      </c>
    </row>
    <row r="80" spans="1:18" x14ac:dyDescent="0.25">
      <c r="A80" s="43">
        <v>42190</v>
      </c>
      <c r="B80" s="43"/>
      <c r="C80" s="88" t="s">
        <v>34</v>
      </c>
      <c r="D80" s="23">
        <v>3</v>
      </c>
      <c r="E80" s="23">
        <v>6</v>
      </c>
      <c r="F80" s="38">
        <f t="shared" si="6"/>
        <v>0.5</v>
      </c>
      <c r="G80" s="23">
        <v>1</v>
      </c>
      <c r="H80" s="23">
        <v>2</v>
      </c>
      <c r="I80" s="38">
        <f t="shared" si="7"/>
        <v>0.5</v>
      </c>
      <c r="J80" s="23">
        <v>0</v>
      </c>
      <c r="K80" s="23">
        <v>0</v>
      </c>
      <c r="L80" s="38">
        <f t="shared" si="8"/>
        <v>0</v>
      </c>
      <c r="M80" s="23">
        <v>2</v>
      </c>
      <c r="N80" s="23">
        <v>4</v>
      </c>
      <c r="O80" s="23">
        <v>1</v>
      </c>
      <c r="P80" s="23">
        <v>1</v>
      </c>
      <c r="Q80" s="23">
        <v>0</v>
      </c>
      <c r="R80" s="25">
        <v>7</v>
      </c>
    </row>
    <row r="81" spans="1:18" x14ac:dyDescent="0.25">
      <c r="A81" s="43">
        <v>42192</v>
      </c>
      <c r="B81" s="43"/>
      <c r="C81" s="88" t="s">
        <v>98</v>
      </c>
      <c r="D81" s="23">
        <v>2</v>
      </c>
      <c r="E81" s="23">
        <v>13</v>
      </c>
      <c r="F81" s="38">
        <f t="shared" si="6"/>
        <v>0.15384615384615385</v>
      </c>
      <c r="G81" s="23">
        <v>1</v>
      </c>
      <c r="H81" s="23">
        <v>8</v>
      </c>
      <c r="I81" s="38">
        <f t="shared" si="7"/>
        <v>0.125</v>
      </c>
      <c r="J81" s="23">
        <v>18</v>
      </c>
      <c r="K81" s="23">
        <v>20</v>
      </c>
      <c r="L81" s="38">
        <f t="shared" si="8"/>
        <v>0.9</v>
      </c>
      <c r="M81" s="23">
        <v>5</v>
      </c>
      <c r="N81" s="23">
        <v>3</v>
      </c>
      <c r="O81" s="23">
        <v>4</v>
      </c>
      <c r="P81" s="23">
        <v>1</v>
      </c>
      <c r="Q81" s="23">
        <v>0</v>
      </c>
      <c r="R81" s="25">
        <v>23</v>
      </c>
    </row>
    <row r="82" spans="1:18" x14ac:dyDescent="0.25">
      <c r="A82" s="43">
        <v>42193</v>
      </c>
      <c r="B82" s="43"/>
      <c r="C82" s="88" t="s">
        <v>97</v>
      </c>
      <c r="D82" s="23">
        <v>4</v>
      </c>
      <c r="E82" s="23">
        <v>5</v>
      </c>
      <c r="F82" s="38">
        <f t="shared" si="6"/>
        <v>0.8</v>
      </c>
      <c r="G82" s="23">
        <v>0</v>
      </c>
      <c r="H82" s="23">
        <v>0</v>
      </c>
      <c r="I82" s="38">
        <f t="shared" si="7"/>
        <v>0</v>
      </c>
      <c r="J82" s="23">
        <v>1</v>
      </c>
      <c r="K82" s="23">
        <v>2</v>
      </c>
      <c r="L82" s="38">
        <f t="shared" si="8"/>
        <v>0.5</v>
      </c>
      <c r="M82" s="23">
        <v>3</v>
      </c>
      <c r="N82" s="23">
        <v>0</v>
      </c>
      <c r="O82" s="23">
        <v>0</v>
      </c>
      <c r="P82" s="23">
        <v>1</v>
      </c>
      <c r="Q82" s="23">
        <v>0</v>
      </c>
      <c r="R82" s="25">
        <v>9</v>
      </c>
    </row>
    <row r="83" spans="1:18" x14ac:dyDescent="0.25">
      <c r="A83" s="43">
        <v>42193</v>
      </c>
      <c r="B83" s="43"/>
      <c r="C83" s="88" t="s">
        <v>106</v>
      </c>
      <c r="D83" s="23">
        <v>1</v>
      </c>
      <c r="E83" s="23">
        <v>5</v>
      </c>
      <c r="F83" s="38">
        <f t="shared" si="6"/>
        <v>0.2</v>
      </c>
      <c r="G83" s="23">
        <v>1</v>
      </c>
      <c r="H83" s="23">
        <v>5</v>
      </c>
      <c r="I83" s="38">
        <f t="shared" si="7"/>
        <v>0.2</v>
      </c>
      <c r="J83" s="23">
        <v>4</v>
      </c>
      <c r="K83" s="23">
        <v>4</v>
      </c>
      <c r="L83" s="38">
        <f t="shared" si="8"/>
        <v>1</v>
      </c>
      <c r="M83" s="23">
        <v>2</v>
      </c>
      <c r="N83" s="23">
        <v>1</v>
      </c>
      <c r="O83" s="23">
        <v>0</v>
      </c>
      <c r="P83" s="23">
        <v>3</v>
      </c>
      <c r="Q83" s="23">
        <v>0</v>
      </c>
      <c r="R83" s="25">
        <v>7</v>
      </c>
    </row>
    <row r="84" spans="1:18" x14ac:dyDescent="0.25">
      <c r="A84" s="43">
        <v>42193</v>
      </c>
      <c r="B84" s="43"/>
      <c r="C84" s="88" t="s">
        <v>113</v>
      </c>
      <c r="D84" s="23">
        <v>2</v>
      </c>
      <c r="E84" s="23">
        <v>10</v>
      </c>
      <c r="F84" s="38">
        <f t="shared" si="6"/>
        <v>0.2</v>
      </c>
      <c r="G84" s="23">
        <v>0</v>
      </c>
      <c r="H84" s="23">
        <v>0</v>
      </c>
      <c r="I84" s="38">
        <f t="shared" si="7"/>
        <v>0</v>
      </c>
      <c r="J84" s="23">
        <v>0</v>
      </c>
      <c r="K84" s="23">
        <v>0</v>
      </c>
      <c r="L84" s="38">
        <f t="shared" si="8"/>
        <v>0</v>
      </c>
      <c r="M84" s="23">
        <v>3</v>
      </c>
      <c r="N84" s="23">
        <v>0</v>
      </c>
      <c r="O84" s="23">
        <v>1</v>
      </c>
      <c r="P84" s="23">
        <v>1</v>
      </c>
      <c r="Q84" s="23">
        <v>0</v>
      </c>
      <c r="R84" s="25">
        <v>4</v>
      </c>
    </row>
    <row r="85" spans="1:18" x14ac:dyDescent="0.25">
      <c r="A85" s="43">
        <v>42193</v>
      </c>
      <c r="B85" s="43"/>
      <c r="C85" s="88" t="s">
        <v>124</v>
      </c>
      <c r="D85" s="23">
        <v>3</v>
      </c>
      <c r="E85" s="23">
        <v>11</v>
      </c>
      <c r="F85" s="38">
        <f t="shared" si="6"/>
        <v>0.27272727272727271</v>
      </c>
      <c r="G85" s="23">
        <v>1</v>
      </c>
      <c r="H85" s="23">
        <v>4</v>
      </c>
      <c r="I85" s="38">
        <f t="shared" si="7"/>
        <v>0.25</v>
      </c>
      <c r="J85" s="23">
        <v>3</v>
      </c>
      <c r="K85" s="23">
        <v>3</v>
      </c>
      <c r="L85" s="38">
        <f t="shared" si="8"/>
        <v>1</v>
      </c>
      <c r="M85" s="23">
        <v>3</v>
      </c>
      <c r="N85" s="23">
        <v>7</v>
      </c>
      <c r="O85" s="23">
        <v>2</v>
      </c>
      <c r="P85" s="23">
        <v>1</v>
      </c>
      <c r="Q85" s="23">
        <v>0</v>
      </c>
      <c r="R85" s="25">
        <v>10</v>
      </c>
    </row>
    <row r="86" spans="1:18" x14ac:dyDescent="0.25">
      <c r="A86" s="43">
        <v>42194</v>
      </c>
      <c r="B86" s="43"/>
      <c r="C86" s="88" t="s">
        <v>100</v>
      </c>
      <c r="D86" s="23">
        <v>3</v>
      </c>
      <c r="E86" s="23">
        <v>7</v>
      </c>
      <c r="F86" s="38">
        <f t="shared" si="6"/>
        <v>0.42857142857142855</v>
      </c>
      <c r="G86" s="23">
        <v>0</v>
      </c>
      <c r="H86" s="23">
        <v>0</v>
      </c>
      <c r="I86" s="38">
        <f t="shared" si="7"/>
        <v>0</v>
      </c>
      <c r="J86" s="23">
        <v>3</v>
      </c>
      <c r="K86" s="23">
        <v>3</v>
      </c>
      <c r="L86" s="38">
        <f t="shared" si="8"/>
        <v>1</v>
      </c>
      <c r="M86" s="23">
        <v>7</v>
      </c>
      <c r="N86" s="23">
        <v>0</v>
      </c>
      <c r="O86" s="23">
        <v>0</v>
      </c>
      <c r="P86" s="23">
        <v>0</v>
      </c>
      <c r="Q86" s="23">
        <v>0</v>
      </c>
      <c r="R86" s="25">
        <v>9</v>
      </c>
    </row>
    <row r="87" spans="1:18" x14ac:dyDescent="0.25">
      <c r="A87" s="43">
        <v>42195</v>
      </c>
      <c r="B87" s="43"/>
      <c r="C87" s="88" t="s">
        <v>32</v>
      </c>
      <c r="D87" s="23">
        <v>3</v>
      </c>
      <c r="E87" s="23">
        <v>7</v>
      </c>
      <c r="F87" s="38">
        <f t="shared" si="6"/>
        <v>0.42857142857142855</v>
      </c>
      <c r="G87" s="23">
        <v>0</v>
      </c>
      <c r="H87" s="23">
        <v>0</v>
      </c>
      <c r="I87" s="38">
        <f t="shared" si="7"/>
        <v>0</v>
      </c>
      <c r="J87" s="23">
        <v>2</v>
      </c>
      <c r="K87" s="23">
        <v>2</v>
      </c>
      <c r="L87" s="38">
        <f t="shared" si="8"/>
        <v>1</v>
      </c>
      <c r="M87" s="23">
        <v>10</v>
      </c>
      <c r="N87" s="23">
        <v>2</v>
      </c>
      <c r="O87" s="23">
        <v>0</v>
      </c>
      <c r="P87" s="23">
        <v>1</v>
      </c>
      <c r="Q87" s="23">
        <v>2</v>
      </c>
      <c r="R87" s="25">
        <v>8</v>
      </c>
    </row>
    <row r="88" spans="1:18" x14ac:dyDescent="0.25">
      <c r="A88" s="43">
        <v>42195</v>
      </c>
      <c r="B88" s="43"/>
      <c r="C88" s="88" t="s">
        <v>97</v>
      </c>
      <c r="D88" s="23">
        <v>3</v>
      </c>
      <c r="E88" s="23">
        <v>7</v>
      </c>
      <c r="F88" s="38">
        <f t="shared" si="6"/>
        <v>0.42857142857142855</v>
      </c>
      <c r="G88" s="23">
        <v>0</v>
      </c>
      <c r="H88" s="23">
        <v>0</v>
      </c>
      <c r="I88" s="38">
        <f t="shared" si="7"/>
        <v>0</v>
      </c>
      <c r="J88" s="23">
        <v>0</v>
      </c>
      <c r="K88" s="23">
        <v>0</v>
      </c>
      <c r="L88" s="38">
        <f t="shared" si="8"/>
        <v>0</v>
      </c>
      <c r="M88" s="23">
        <v>1</v>
      </c>
      <c r="N88" s="23">
        <v>2</v>
      </c>
      <c r="O88" s="23">
        <v>1</v>
      </c>
      <c r="P88" s="23">
        <v>1</v>
      </c>
      <c r="Q88" s="23">
        <v>2</v>
      </c>
      <c r="R88" s="25">
        <v>6</v>
      </c>
    </row>
    <row r="89" spans="1:18" x14ac:dyDescent="0.25">
      <c r="A89" s="43">
        <v>42195</v>
      </c>
      <c r="B89" s="43"/>
      <c r="C89" s="88" t="s">
        <v>29</v>
      </c>
      <c r="D89" s="23">
        <v>11</v>
      </c>
      <c r="E89" s="23">
        <v>23</v>
      </c>
      <c r="F89" s="38">
        <f t="shared" si="6"/>
        <v>0.47826086956521741</v>
      </c>
      <c r="G89" s="23">
        <v>5</v>
      </c>
      <c r="H89" s="23">
        <v>14</v>
      </c>
      <c r="I89" s="38">
        <f t="shared" si="7"/>
        <v>0.35714285714285715</v>
      </c>
      <c r="J89" s="23">
        <v>2</v>
      </c>
      <c r="K89" s="23">
        <v>2</v>
      </c>
      <c r="L89" s="38">
        <f t="shared" si="8"/>
        <v>1</v>
      </c>
      <c r="M89" s="23">
        <v>10</v>
      </c>
      <c r="N89" s="23">
        <v>6</v>
      </c>
      <c r="O89" s="23">
        <v>2</v>
      </c>
      <c r="P89" s="23">
        <v>1</v>
      </c>
      <c r="Q89" s="23">
        <v>1</v>
      </c>
      <c r="R89" s="25">
        <v>29</v>
      </c>
    </row>
    <row r="90" spans="1:18" x14ac:dyDescent="0.25">
      <c r="A90" s="43">
        <v>42195</v>
      </c>
      <c r="B90" s="43"/>
      <c r="C90" s="88" t="s">
        <v>34</v>
      </c>
      <c r="D90" s="23">
        <v>4</v>
      </c>
      <c r="E90" s="23">
        <v>6</v>
      </c>
      <c r="F90" s="38">
        <f t="shared" si="6"/>
        <v>0.66666666666666663</v>
      </c>
      <c r="G90" s="23">
        <v>4</v>
      </c>
      <c r="H90" s="23">
        <v>4</v>
      </c>
      <c r="I90" s="38">
        <f t="shared" si="7"/>
        <v>1</v>
      </c>
      <c r="J90" s="23">
        <v>0</v>
      </c>
      <c r="K90" s="23">
        <v>0</v>
      </c>
      <c r="L90" s="38">
        <f t="shared" si="8"/>
        <v>0</v>
      </c>
      <c r="M90" s="23">
        <v>3</v>
      </c>
      <c r="N90" s="23">
        <v>4</v>
      </c>
      <c r="O90" s="23">
        <v>2</v>
      </c>
      <c r="P90" s="23">
        <v>2</v>
      </c>
      <c r="Q90" s="23">
        <v>0</v>
      </c>
      <c r="R90" s="25">
        <v>12</v>
      </c>
    </row>
    <row r="91" spans="1:18" x14ac:dyDescent="0.25">
      <c r="A91" s="43">
        <v>42195</v>
      </c>
      <c r="B91" s="43"/>
      <c r="C91" s="88" t="s">
        <v>106</v>
      </c>
      <c r="D91" s="23">
        <v>3</v>
      </c>
      <c r="E91" s="23">
        <v>5</v>
      </c>
      <c r="F91" s="38">
        <f t="shared" si="6"/>
        <v>0.6</v>
      </c>
      <c r="G91" s="23">
        <v>2</v>
      </c>
      <c r="H91" s="23">
        <v>4</v>
      </c>
      <c r="I91" s="38">
        <f t="shared" si="7"/>
        <v>0.5</v>
      </c>
      <c r="J91" s="23">
        <v>0</v>
      </c>
      <c r="K91" s="23">
        <v>0</v>
      </c>
      <c r="L91" s="38">
        <f t="shared" si="8"/>
        <v>0</v>
      </c>
      <c r="M91" s="23">
        <v>3</v>
      </c>
      <c r="N91" s="23">
        <v>3</v>
      </c>
      <c r="O91" s="23">
        <v>1</v>
      </c>
      <c r="P91" s="23">
        <v>2</v>
      </c>
      <c r="Q91" s="23">
        <v>0</v>
      </c>
      <c r="R91" s="25">
        <v>8</v>
      </c>
    </row>
    <row r="92" spans="1:18" x14ac:dyDescent="0.25">
      <c r="A92" s="43">
        <v>42196</v>
      </c>
      <c r="B92" s="43"/>
      <c r="C92" s="88" t="s">
        <v>124</v>
      </c>
      <c r="D92" s="23">
        <v>3</v>
      </c>
      <c r="E92" s="23">
        <v>7</v>
      </c>
      <c r="F92" s="38">
        <f t="shared" si="6"/>
        <v>0.42857142857142855</v>
      </c>
      <c r="G92" s="23">
        <v>1</v>
      </c>
      <c r="H92" s="23">
        <v>4</v>
      </c>
      <c r="I92" s="38">
        <f t="shared" si="7"/>
        <v>0.25</v>
      </c>
      <c r="J92" s="23">
        <v>2</v>
      </c>
      <c r="K92" s="23">
        <v>2</v>
      </c>
      <c r="L92" s="38">
        <f t="shared" si="8"/>
        <v>1</v>
      </c>
      <c r="M92" s="23">
        <v>2</v>
      </c>
      <c r="N92" s="23">
        <v>6</v>
      </c>
      <c r="O92" s="23">
        <v>2</v>
      </c>
      <c r="P92" s="23">
        <v>3</v>
      </c>
      <c r="Q92" s="23">
        <v>0</v>
      </c>
      <c r="R92" s="25">
        <v>9</v>
      </c>
    </row>
    <row r="93" spans="1:18" x14ac:dyDescent="0.25">
      <c r="A93" s="21">
        <v>42196</v>
      </c>
      <c r="B93" s="20"/>
      <c r="C93" s="90" t="s">
        <v>98</v>
      </c>
      <c r="D93" s="16">
        <v>2</v>
      </c>
      <c r="E93" s="16">
        <v>10</v>
      </c>
      <c r="F93" s="55">
        <f t="shared" si="6"/>
        <v>0.2</v>
      </c>
      <c r="G93" s="16">
        <v>1</v>
      </c>
      <c r="H93" s="16">
        <v>5</v>
      </c>
      <c r="I93" s="55">
        <f t="shared" si="7"/>
        <v>0.2</v>
      </c>
      <c r="J93" s="16">
        <v>2</v>
      </c>
      <c r="K93" s="16">
        <v>2</v>
      </c>
      <c r="L93" s="55">
        <f t="shared" si="8"/>
        <v>1</v>
      </c>
      <c r="M93" s="16">
        <v>4</v>
      </c>
      <c r="N93" s="16">
        <v>3</v>
      </c>
      <c r="O93" s="16">
        <v>0</v>
      </c>
      <c r="P93" s="16">
        <v>0</v>
      </c>
      <c r="Q93" s="16">
        <v>1</v>
      </c>
      <c r="R93" s="16">
        <v>7</v>
      </c>
    </row>
    <row r="94" spans="1:18" x14ac:dyDescent="0.25">
      <c r="A94" s="21">
        <v>42197</v>
      </c>
      <c r="B94" s="20"/>
      <c r="C94" s="90" t="s">
        <v>29</v>
      </c>
      <c r="D94" s="16">
        <v>8</v>
      </c>
      <c r="E94" s="16">
        <v>16</v>
      </c>
      <c r="F94" s="55">
        <f t="shared" si="6"/>
        <v>0.5</v>
      </c>
      <c r="G94" s="16">
        <v>2</v>
      </c>
      <c r="H94" s="16">
        <v>5</v>
      </c>
      <c r="I94" s="55">
        <f t="shared" si="7"/>
        <v>0.4</v>
      </c>
      <c r="J94" s="16">
        <v>2</v>
      </c>
      <c r="K94" s="16">
        <v>3</v>
      </c>
      <c r="L94" s="55">
        <f t="shared" si="8"/>
        <v>0.66666666666666663</v>
      </c>
      <c r="M94" s="16">
        <v>9</v>
      </c>
      <c r="N94" s="16">
        <v>3</v>
      </c>
      <c r="O94" s="16">
        <v>0</v>
      </c>
      <c r="P94" s="16">
        <v>1</v>
      </c>
      <c r="Q94" s="16">
        <v>2</v>
      </c>
      <c r="R94" s="16">
        <v>20</v>
      </c>
    </row>
    <row r="95" spans="1:18" x14ac:dyDescent="0.25">
      <c r="A95" s="21">
        <v>42197</v>
      </c>
      <c r="B95" s="20"/>
      <c r="C95" s="90" t="s">
        <v>32</v>
      </c>
      <c r="D95" s="16">
        <v>1</v>
      </c>
      <c r="E95" s="16">
        <v>4</v>
      </c>
      <c r="F95" s="55">
        <f t="shared" si="6"/>
        <v>0.25</v>
      </c>
      <c r="G95" s="16">
        <v>0</v>
      </c>
      <c r="H95" s="16">
        <v>0</v>
      </c>
      <c r="I95" s="55">
        <f t="shared" si="7"/>
        <v>0</v>
      </c>
      <c r="J95" s="16">
        <v>0</v>
      </c>
      <c r="K95" s="16">
        <v>0</v>
      </c>
      <c r="L95" s="55">
        <f t="shared" si="8"/>
        <v>0</v>
      </c>
      <c r="M95" s="16">
        <v>6</v>
      </c>
      <c r="N95" s="16">
        <v>0</v>
      </c>
      <c r="O95" s="16">
        <v>0</v>
      </c>
      <c r="P95" s="16">
        <v>0</v>
      </c>
      <c r="Q95" s="16">
        <v>1</v>
      </c>
      <c r="R95" s="16">
        <v>2</v>
      </c>
    </row>
    <row r="96" spans="1:18" x14ac:dyDescent="0.25">
      <c r="A96" s="21">
        <v>42197</v>
      </c>
      <c r="B96" s="20"/>
      <c r="C96" s="90" t="s">
        <v>34</v>
      </c>
      <c r="D96" s="16">
        <v>1</v>
      </c>
      <c r="E96" s="16">
        <v>2</v>
      </c>
      <c r="F96" s="55">
        <f t="shared" si="6"/>
        <v>0.5</v>
      </c>
      <c r="G96" s="16">
        <v>1</v>
      </c>
      <c r="H96" s="16">
        <v>2</v>
      </c>
      <c r="I96" s="55">
        <f t="shared" si="7"/>
        <v>0.5</v>
      </c>
      <c r="J96" s="16">
        <v>0</v>
      </c>
      <c r="K96" s="16">
        <v>0</v>
      </c>
      <c r="L96" s="55">
        <f t="shared" si="8"/>
        <v>0</v>
      </c>
      <c r="M96" s="16">
        <v>3</v>
      </c>
      <c r="N96" s="16">
        <v>5</v>
      </c>
      <c r="O96" s="16">
        <v>2</v>
      </c>
      <c r="P96" s="16">
        <v>1</v>
      </c>
      <c r="Q96" s="16">
        <v>0</v>
      </c>
      <c r="R96" s="16">
        <v>3</v>
      </c>
    </row>
    <row r="97" spans="1:18" x14ac:dyDescent="0.25">
      <c r="A97" s="21">
        <v>42197</v>
      </c>
      <c r="B97" s="20"/>
      <c r="C97" s="90" t="s">
        <v>106</v>
      </c>
      <c r="D97" s="16">
        <v>0</v>
      </c>
      <c r="E97" s="16">
        <v>4</v>
      </c>
      <c r="F97" s="55">
        <f t="shared" si="6"/>
        <v>0</v>
      </c>
      <c r="G97" s="16">
        <v>0</v>
      </c>
      <c r="H97" s="16">
        <v>2</v>
      </c>
      <c r="I97" s="55">
        <f t="shared" si="7"/>
        <v>0</v>
      </c>
      <c r="J97" s="16">
        <v>0</v>
      </c>
      <c r="K97" s="16">
        <v>0</v>
      </c>
      <c r="L97" s="55">
        <f t="shared" si="8"/>
        <v>0</v>
      </c>
      <c r="M97" s="16">
        <v>6</v>
      </c>
      <c r="N97" s="16">
        <v>1</v>
      </c>
      <c r="O97" s="16">
        <v>0</v>
      </c>
      <c r="P97" s="16">
        <v>1</v>
      </c>
      <c r="Q97" s="16">
        <v>0</v>
      </c>
      <c r="R97" s="16">
        <v>0</v>
      </c>
    </row>
    <row r="98" spans="1:18" x14ac:dyDescent="0.25">
      <c r="A98" s="21">
        <v>42197</v>
      </c>
      <c r="B98" s="20"/>
      <c r="C98" s="90" t="s">
        <v>100</v>
      </c>
      <c r="D98" s="16">
        <v>2</v>
      </c>
      <c r="E98" s="16">
        <v>6</v>
      </c>
      <c r="F98" s="55">
        <f t="shared" ref="F98:F129" si="9">IF(E98=0,0,D98/E98)</f>
        <v>0.33333333333333331</v>
      </c>
      <c r="G98" s="16">
        <v>0</v>
      </c>
      <c r="H98" s="16">
        <v>0</v>
      </c>
      <c r="I98" s="55">
        <f t="shared" ref="I98:I129" si="10">IF(H98=0,0,G98/H98)</f>
        <v>0</v>
      </c>
      <c r="J98" s="16">
        <v>6</v>
      </c>
      <c r="K98" s="16">
        <v>8</v>
      </c>
      <c r="L98" s="55">
        <f t="shared" ref="L98:L129" si="11">IF(K98=0,0,J98/K98)</f>
        <v>0.75</v>
      </c>
      <c r="M98" s="16">
        <v>4</v>
      </c>
      <c r="N98" s="16">
        <v>1</v>
      </c>
      <c r="O98" s="16">
        <v>0</v>
      </c>
      <c r="P98" s="16">
        <v>1</v>
      </c>
      <c r="Q98" s="16">
        <v>1</v>
      </c>
      <c r="R98" s="16">
        <v>10</v>
      </c>
    </row>
    <row r="99" spans="1:18" x14ac:dyDescent="0.25">
      <c r="A99" s="21">
        <v>42199</v>
      </c>
      <c r="B99" s="20"/>
      <c r="C99" s="90" t="s">
        <v>29</v>
      </c>
      <c r="D99" s="16">
        <v>8</v>
      </c>
      <c r="E99" s="16">
        <v>14</v>
      </c>
      <c r="F99" s="56">
        <f t="shared" si="9"/>
        <v>0.5714285714285714</v>
      </c>
      <c r="G99" s="16">
        <v>4</v>
      </c>
      <c r="H99" s="16">
        <v>7</v>
      </c>
      <c r="I99" s="56">
        <f t="shared" si="10"/>
        <v>0.5714285714285714</v>
      </c>
      <c r="J99" s="16">
        <v>6</v>
      </c>
      <c r="K99" s="16">
        <v>6</v>
      </c>
      <c r="L99" s="56">
        <f t="shared" si="11"/>
        <v>1</v>
      </c>
      <c r="M99" s="16">
        <v>7</v>
      </c>
      <c r="N99" s="16">
        <v>5</v>
      </c>
      <c r="O99" s="16">
        <v>0</v>
      </c>
      <c r="P99" s="16">
        <v>2</v>
      </c>
      <c r="Q99" s="16">
        <v>2</v>
      </c>
      <c r="R99" s="16">
        <v>26</v>
      </c>
    </row>
    <row r="100" spans="1:18" x14ac:dyDescent="0.25">
      <c r="A100" s="21">
        <v>42199</v>
      </c>
      <c r="B100" s="20"/>
      <c r="C100" s="90" t="s">
        <v>34</v>
      </c>
      <c r="D100" s="16">
        <v>2</v>
      </c>
      <c r="E100" s="16">
        <v>6</v>
      </c>
      <c r="F100" s="56">
        <f t="shared" si="9"/>
        <v>0.33333333333333331</v>
      </c>
      <c r="G100" s="16">
        <v>1</v>
      </c>
      <c r="H100" s="16">
        <v>3</v>
      </c>
      <c r="I100" s="56">
        <f t="shared" si="10"/>
        <v>0.33333333333333331</v>
      </c>
      <c r="J100" s="16">
        <v>0</v>
      </c>
      <c r="K100" s="16">
        <v>0</v>
      </c>
      <c r="L100" s="56">
        <f t="shared" si="11"/>
        <v>0</v>
      </c>
      <c r="M100" s="16">
        <v>3</v>
      </c>
      <c r="N100" s="16">
        <v>2</v>
      </c>
      <c r="O100" s="16">
        <v>3</v>
      </c>
      <c r="P100" s="16">
        <v>0</v>
      </c>
      <c r="Q100" s="16">
        <v>0</v>
      </c>
      <c r="R100" s="16">
        <v>5</v>
      </c>
    </row>
    <row r="101" spans="1:18" x14ac:dyDescent="0.25">
      <c r="A101" s="21">
        <v>42200</v>
      </c>
      <c r="B101" s="20"/>
      <c r="C101" s="90" t="s">
        <v>32</v>
      </c>
      <c r="D101" s="16">
        <v>1</v>
      </c>
      <c r="E101" s="16">
        <v>3</v>
      </c>
      <c r="F101" s="56">
        <f t="shared" si="9"/>
        <v>0.33333333333333331</v>
      </c>
      <c r="G101" s="16">
        <v>0</v>
      </c>
      <c r="H101" s="16">
        <v>0</v>
      </c>
      <c r="I101" s="56">
        <f t="shared" si="10"/>
        <v>0</v>
      </c>
      <c r="J101" s="16">
        <v>0</v>
      </c>
      <c r="K101" s="16">
        <v>0</v>
      </c>
      <c r="L101" s="56">
        <f t="shared" si="11"/>
        <v>0</v>
      </c>
      <c r="M101" s="16">
        <v>4</v>
      </c>
      <c r="N101" s="16">
        <v>0</v>
      </c>
      <c r="O101" s="16">
        <v>0</v>
      </c>
      <c r="P101" s="16">
        <v>3</v>
      </c>
      <c r="Q101" s="16">
        <v>2</v>
      </c>
      <c r="R101" s="16">
        <v>2</v>
      </c>
    </row>
    <row r="102" spans="1:18" x14ac:dyDescent="0.25">
      <c r="A102" s="21">
        <v>42200</v>
      </c>
      <c r="B102" s="20"/>
      <c r="C102" s="90" t="s">
        <v>100</v>
      </c>
      <c r="D102" s="16">
        <v>4</v>
      </c>
      <c r="E102" s="16">
        <v>5</v>
      </c>
      <c r="F102" s="56">
        <f t="shared" si="9"/>
        <v>0.8</v>
      </c>
      <c r="G102" s="16">
        <v>0</v>
      </c>
      <c r="H102" s="16">
        <v>0</v>
      </c>
      <c r="I102" s="56">
        <f t="shared" si="10"/>
        <v>0</v>
      </c>
      <c r="J102" s="16">
        <v>0</v>
      </c>
      <c r="K102" s="16">
        <v>0</v>
      </c>
      <c r="L102" s="56">
        <f t="shared" si="11"/>
        <v>0</v>
      </c>
      <c r="M102" s="16">
        <v>4</v>
      </c>
      <c r="N102" s="16">
        <v>1</v>
      </c>
      <c r="O102" s="16">
        <v>0</v>
      </c>
      <c r="P102" s="16">
        <v>1</v>
      </c>
      <c r="Q102" s="16">
        <v>1</v>
      </c>
      <c r="R102" s="16">
        <v>8</v>
      </c>
    </row>
    <row r="103" spans="1:18" x14ac:dyDescent="0.25">
      <c r="A103" s="21">
        <v>42200</v>
      </c>
      <c r="B103" s="20"/>
      <c r="C103" s="90" t="s">
        <v>124</v>
      </c>
      <c r="D103" s="16">
        <v>4</v>
      </c>
      <c r="E103" s="16">
        <v>5</v>
      </c>
      <c r="F103" s="56">
        <f t="shared" si="9"/>
        <v>0.8</v>
      </c>
      <c r="G103" s="16">
        <v>2</v>
      </c>
      <c r="H103" s="16">
        <v>3</v>
      </c>
      <c r="I103" s="56">
        <f t="shared" si="10"/>
        <v>0.66666666666666663</v>
      </c>
      <c r="J103" s="16">
        <v>0</v>
      </c>
      <c r="K103" s="16">
        <v>0</v>
      </c>
      <c r="L103" s="56">
        <f t="shared" si="11"/>
        <v>0</v>
      </c>
      <c r="M103" s="16">
        <v>0</v>
      </c>
      <c r="N103" s="16">
        <v>1</v>
      </c>
      <c r="O103" s="16">
        <v>0</v>
      </c>
      <c r="P103" s="16">
        <v>0</v>
      </c>
      <c r="Q103" s="16">
        <v>0</v>
      </c>
      <c r="R103" s="16">
        <v>10</v>
      </c>
    </row>
    <row r="104" spans="1:18" x14ac:dyDescent="0.25">
      <c r="A104" s="21">
        <v>42200</v>
      </c>
      <c r="B104" s="20"/>
      <c r="C104" s="90" t="s">
        <v>106</v>
      </c>
      <c r="D104" s="16">
        <v>2</v>
      </c>
      <c r="E104" s="16">
        <v>4</v>
      </c>
      <c r="F104" s="56">
        <f t="shared" si="9"/>
        <v>0.5</v>
      </c>
      <c r="G104" s="16">
        <v>1</v>
      </c>
      <c r="H104" s="16">
        <v>2</v>
      </c>
      <c r="I104" s="56">
        <f t="shared" si="10"/>
        <v>0.5</v>
      </c>
      <c r="J104" s="16">
        <v>2</v>
      </c>
      <c r="K104" s="16">
        <v>2</v>
      </c>
      <c r="L104" s="56">
        <f t="shared" si="11"/>
        <v>1</v>
      </c>
      <c r="M104" s="16">
        <v>2</v>
      </c>
      <c r="N104" s="16">
        <v>2</v>
      </c>
      <c r="O104" s="16">
        <v>1</v>
      </c>
      <c r="P104" s="16">
        <v>1</v>
      </c>
      <c r="Q104" s="16">
        <v>0</v>
      </c>
      <c r="R104" s="16">
        <v>7</v>
      </c>
    </row>
    <row r="105" spans="1:18" x14ac:dyDescent="0.25">
      <c r="A105" s="21">
        <v>42200</v>
      </c>
      <c r="B105" s="20"/>
      <c r="C105" s="90" t="s">
        <v>98</v>
      </c>
      <c r="D105" s="16">
        <v>9</v>
      </c>
      <c r="E105" s="16">
        <v>23</v>
      </c>
      <c r="F105" s="56">
        <f t="shared" si="9"/>
        <v>0.39130434782608697</v>
      </c>
      <c r="G105" s="16">
        <v>4</v>
      </c>
      <c r="H105" s="16">
        <v>9</v>
      </c>
      <c r="I105" s="56">
        <f t="shared" si="10"/>
        <v>0.44444444444444442</v>
      </c>
      <c r="J105" s="16">
        <v>9</v>
      </c>
      <c r="K105" s="16">
        <v>11</v>
      </c>
      <c r="L105" s="56">
        <f t="shared" si="11"/>
        <v>0.81818181818181823</v>
      </c>
      <c r="M105" s="16">
        <v>7</v>
      </c>
      <c r="N105" s="16">
        <v>1</v>
      </c>
      <c r="O105" s="16">
        <v>2</v>
      </c>
      <c r="P105" s="16">
        <v>2</v>
      </c>
      <c r="Q105" s="16">
        <v>0</v>
      </c>
      <c r="R105" s="16">
        <v>31</v>
      </c>
    </row>
    <row r="106" spans="1:18" x14ac:dyDescent="0.25">
      <c r="A106" s="21">
        <v>42200</v>
      </c>
      <c r="B106" s="20"/>
      <c r="C106" s="90" t="s">
        <v>31</v>
      </c>
      <c r="D106" s="16">
        <v>0</v>
      </c>
      <c r="E106" s="16">
        <v>1</v>
      </c>
      <c r="F106" s="56">
        <f t="shared" si="9"/>
        <v>0</v>
      </c>
      <c r="G106" s="16">
        <v>0</v>
      </c>
      <c r="H106" s="16">
        <v>0</v>
      </c>
      <c r="I106" s="56">
        <f t="shared" si="10"/>
        <v>0</v>
      </c>
      <c r="J106" s="16">
        <v>2</v>
      </c>
      <c r="K106" s="16">
        <v>4</v>
      </c>
      <c r="L106" s="56">
        <f t="shared" si="11"/>
        <v>0.5</v>
      </c>
      <c r="M106" s="16">
        <v>4</v>
      </c>
      <c r="N106" s="16">
        <v>1</v>
      </c>
      <c r="O106" s="16">
        <v>0</v>
      </c>
      <c r="P106" s="16">
        <v>0</v>
      </c>
      <c r="Q106" s="16">
        <v>0</v>
      </c>
      <c r="R106" s="16">
        <v>2</v>
      </c>
    </row>
    <row r="107" spans="1:18" x14ac:dyDescent="0.25">
      <c r="A107" s="61">
        <v>42201</v>
      </c>
      <c r="B107" s="60"/>
      <c r="C107" s="91" t="s">
        <v>100</v>
      </c>
      <c r="D107" s="57">
        <v>0</v>
      </c>
      <c r="E107" s="57">
        <v>2</v>
      </c>
      <c r="F107" s="58">
        <f t="shared" si="9"/>
        <v>0</v>
      </c>
      <c r="G107" s="57">
        <v>0</v>
      </c>
      <c r="H107" s="57">
        <v>0</v>
      </c>
      <c r="I107" s="58">
        <f t="shared" si="10"/>
        <v>0</v>
      </c>
      <c r="J107" s="57">
        <v>2</v>
      </c>
      <c r="K107" s="57">
        <v>2</v>
      </c>
      <c r="L107" s="58">
        <f t="shared" si="11"/>
        <v>1</v>
      </c>
      <c r="M107" s="57">
        <v>5</v>
      </c>
      <c r="N107" s="57">
        <v>0</v>
      </c>
      <c r="O107" s="57">
        <v>1</v>
      </c>
      <c r="P107" s="57">
        <v>0</v>
      </c>
      <c r="Q107" s="57">
        <v>0</v>
      </c>
      <c r="R107" s="57">
        <v>2</v>
      </c>
    </row>
    <row r="108" spans="1:18" x14ac:dyDescent="0.25">
      <c r="A108" s="61">
        <v>42201</v>
      </c>
      <c r="B108" s="60"/>
      <c r="C108" s="91" t="s">
        <v>124</v>
      </c>
      <c r="D108" s="57">
        <v>3</v>
      </c>
      <c r="E108" s="57">
        <v>6</v>
      </c>
      <c r="F108" s="58">
        <f t="shared" si="9"/>
        <v>0.5</v>
      </c>
      <c r="G108" s="57">
        <v>0</v>
      </c>
      <c r="H108" s="57">
        <v>0</v>
      </c>
      <c r="I108" s="58">
        <f t="shared" si="10"/>
        <v>0</v>
      </c>
      <c r="J108" s="57">
        <v>2</v>
      </c>
      <c r="K108" s="57">
        <v>3</v>
      </c>
      <c r="L108" s="58">
        <f t="shared" si="11"/>
        <v>0.66666666666666663</v>
      </c>
      <c r="M108" s="57">
        <v>2</v>
      </c>
      <c r="N108" s="57">
        <v>8</v>
      </c>
      <c r="O108" s="57">
        <v>3</v>
      </c>
      <c r="P108" s="57">
        <v>3</v>
      </c>
      <c r="Q108" s="57">
        <v>0</v>
      </c>
      <c r="R108" s="57">
        <v>8</v>
      </c>
    </row>
    <row r="109" spans="1:18" x14ac:dyDescent="0.25">
      <c r="A109" s="21">
        <v>42202</v>
      </c>
      <c r="B109" s="20"/>
      <c r="C109" s="90" t="s">
        <v>31</v>
      </c>
      <c r="D109" s="16">
        <v>0</v>
      </c>
      <c r="E109" s="16">
        <v>1</v>
      </c>
      <c r="F109" s="56">
        <f t="shared" si="9"/>
        <v>0</v>
      </c>
      <c r="G109" s="16">
        <v>0</v>
      </c>
      <c r="H109" s="16">
        <v>0</v>
      </c>
      <c r="I109" s="56">
        <f t="shared" si="10"/>
        <v>0</v>
      </c>
      <c r="J109" s="16">
        <v>1</v>
      </c>
      <c r="K109" s="16">
        <v>2</v>
      </c>
      <c r="L109" s="56">
        <f t="shared" si="11"/>
        <v>0.5</v>
      </c>
      <c r="M109" s="16">
        <v>4</v>
      </c>
      <c r="N109" s="16">
        <v>2</v>
      </c>
      <c r="O109" s="16">
        <v>2</v>
      </c>
      <c r="P109" s="16">
        <v>1</v>
      </c>
      <c r="Q109" s="16">
        <v>0</v>
      </c>
      <c r="R109" s="16">
        <v>1</v>
      </c>
    </row>
    <row r="110" spans="1:18" x14ac:dyDescent="0.25">
      <c r="A110" s="21">
        <v>42202</v>
      </c>
      <c r="B110" s="20"/>
      <c r="C110" s="90" t="s">
        <v>29</v>
      </c>
      <c r="D110" s="16">
        <v>10</v>
      </c>
      <c r="E110" s="16">
        <v>23</v>
      </c>
      <c r="F110" s="56">
        <f t="shared" si="9"/>
        <v>0.43478260869565216</v>
      </c>
      <c r="G110" s="16">
        <v>2</v>
      </c>
      <c r="H110" s="16">
        <v>6</v>
      </c>
      <c r="I110" s="56">
        <f t="shared" si="10"/>
        <v>0.33333333333333331</v>
      </c>
      <c r="J110" s="16">
        <v>7</v>
      </c>
      <c r="K110" s="16">
        <v>8</v>
      </c>
      <c r="L110" s="56">
        <f t="shared" si="11"/>
        <v>0.875</v>
      </c>
      <c r="M110" s="16">
        <v>7</v>
      </c>
      <c r="N110" s="16">
        <v>4</v>
      </c>
      <c r="O110" s="16">
        <v>3</v>
      </c>
      <c r="P110" s="16">
        <v>1</v>
      </c>
      <c r="Q110" s="16">
        <v>3</v>
      </c>
      <c r="R110" s="16">
        <v>29</v>
      </c>
    </row>
    <row r="111" spans="1:18" x14ac:dyDescent="0.25">
      <c r="A111" s="21">
        <v>42202</v>
      </c>
      <c r="B111" s="20"/>
      <c r="C111" s="90" t="s">
        <v>98</v>
      </c>
      <c r="D111" s="16">
        <v>3</v>
      </c>
      <c r="E111" s="16">
        <v>13</v>
      </c>
      <c r="F111" s="56">
        <f t="shared" si="9"/>
        <v>0.23076923076923078</v>
      </c>
      <c r="G111" s="16">
        <v>2</v>
      </c>
      <c r="H111" s="16">
        <v>6</v>
      </c>
      <c r="I111" s="56">
        <f t="shared" si="10"/>
        <v>0.33333333333333331</v>
      </c>
      <c r="J111" s="16">
        <v>2</v>
      </c>
      <c r="K111" s="16">
        <v>2</v>
      </c>
      <c r="L111" s="56">
        <f t="shared" si="11"/>
        <v>1</v>
      </c>
      <c r="M111" s="16">
        <v>4</v>
      </c>
      <c r="N111" s="16">
        <v>3</v>
      </c>
      <c r="O111" s="16">
        <v>1</v>
      </c>
      <c r="P111" s="16">
        <v>1</v>
      </c>
      <c r="Q111" s="16">
        <v>0</v>
      </c>
      <c r="R111" s="16">
        <v>10</v>
      </c>
    </row>
    <row r="112" spans="1:18" x14ac:dyDescent="0.25">
      <c r="A112" s="21">
        <v>42202</v>
      </c>
      <c r="B112" s="20"/>
      <c r="C112" s="90" t="s">
        <v>32</v>
      </c>
      <c r="D112" s="16">
        <v>0</v>
      </c>
      <c r="E112" s="16">
        <v>2</v>
      </c>
      <c r="F112" s="56">
        <f t="shared" si="9"/>
        <v>0</v>
      </c>
      <c r="G112" s="16">
        <v>0</v>
      </c>
      <c r="H112" s="16">
        <v>0</v>
      </c>
      <c r="I112" s="56">
        <f t="shared" si="10"/>
        <v>0</v>
      </c>
      <c r="J112" s="16">
        <v>3</v>
      </c>
      <c r="K112" s="16">
        <v>4</v>
      </c>
      <c r="L112" s="56">
        <f t="shared" si="11"/>
        <v>0.75</v>
      </c>
      <c r="M112" s="16">
        <v>9</v>
      </c>
      <c r="N112" s="16">
        <v>2</v>
      </c>
      <c r="O112" s="16">
        <v>2</v>
      </c>
      <c r="P112" s="16">
        <v>3</v>
      </c>
      <c r="Q112" s="16">
        <v>4</v>
      </c>
      <c r="R112" s="16">
        <v>3</v>
      </c>
    </row>
    <row r="113" spans="1:18" x14ac:dyDescent="0.25">
      <c r="A113" s="21">
        <v>42203</v>
      </c>
      <c r="B113" s="20"/>
      <c r="C113" s="90" t="s">
        <v>106</v>
      </c>
      <c r="D113" s="16">
        <v>4</v>
      </c>
      <c r="E113" s="16">
        <v>7</v>
      </c>
      <c r="F113" s="56">
        <f t="shared" si="9"/>
        <v>0.5714285714285714</v>
      </c>
      <c r="G113" s="16">
        <v>2</v>
      </c>
      <c r="H113" s="16">
        <v>3</v>
      </c>
      <c r="I113" s="56">
        <f t="shared" si="10"/>
        <v>0.66666666666666663</v>
      </c>
      <c r="J113" s="16">
        <v>4</v>
      </c>
      <c r="K113" s="16">
        <v>4</v>
      </c>
      <c r="L113" s="56">
        <f t="shared" si="11"/>
        <v>1</v>
      </c>
      <c r="M113" s="16">
        <v>1</v>
      </c>
      <c r="N113" s="16">
        <v>1</v>
      </c>
      <c r="O113" s="16">
        <v>1</v>
      </c>
      <c r="P113" s="16">
        <v>0</v>
      </c>
      <c r="Q113" s="16">
        <v>0</v>
      </c>
      <c r="R113" s="16">
        <v>14</v>
      </c>
    </row>
    <row r="114" spans="1:18" x14ac:dyDescent="0.25">
      <c r="A114" s="21">
        <v>42203</v>
      </c>
      <c r="B114" s="20"/>
      <c r="C114" s="90" t="s">
        <v>100</v>
      </c>
      <c r="D114" s="16">
        <v>0</v>
      </c>
      <c r="E114" s="16">
        <v>2</v>
      </c>
      <c r="F114" s="56">
        <f t="shared" si="9"/>
        <v>0</v>
      </c>
      <c r="G114" s="16">
        <v>0</v>
      </c>
      <c r="H114" s="16">
        <v>0</v>
      </c>
      <c r="I114" s="56">
        <f t="shared" si="10"/>
        <v>0</v>
      </c>
      <c r="J114" s="16">
        <v>0</v>
      </c>
      <c r="K114" s="16">
        <v>0</v>
      </c>
      <c r="L114" s="56">
        <f t="shared" si="11"/>
        <v>0</v>
      </c>
      <c r="M114" s="16">
        <v>6</v>
      </c>
      <c r="N114" s="16">
        <v>0</v>
      </c>
      <c r="O114" s="16">
        <v>0</v>
      </c>
      <c r="P114" s="16">
        <v>0</v>
      </c>
      <c r="Q114" s="16">
        <v>1</v>
      </c>
      <c r="R114" s="16">
        <v>0</v>
      </c>
    </row>
    <row r="115" spans="1:18" x14ac:dyDescent="0.25">
      <c r="A115" s="21">
        <v>42203</v>
      </c>
      <c r="B115" s="20"/>
      <c r="C115" s="90" t="s">
        <v>34</v>
      </c>
      <c r="D115" s="16">
        <v>2</v>
      </c>
      <c r="E115" s="16">
        <v>6</v>
      </c>
      <c r="F115" s="56">
        <f t="shared" si="9"/>
        <v>0.33333333333333331</v>
      </c>
      <c r="G115" s="16">
        <v>1</v>
      </c>
      <c r="H115" s="16">
        <v>3</v>
      </c>
      <c r="I115" s="56">
        <f t="shared" si="10"/>
        <v>0.33333333333333331</v>
      </c>
      <c r="J115" s="16">
        <v>3</v>
      </c>
      <c r="K115" s="16">
        <v>3</v>
      </c>
      <c r="L115" s="56">
        <f t="shared" si="11"/>
        <v>1</v>
      </c>
      <c r="M115" s="16">
        <v>1</v>
      </c>
      <c r="N115" s="16">
        <v>6</v>
      </c>
      <c r="O115" s="16">
        <v>2</v>
      </c>
      <c r="P115" s="16">
        <v>2</v>
      </c>
      <c r="Q115" s="16">
        <v>0</v>
      </c>
      <c r="R115" s="16">
        <v>8</v>
      </c>
    </row>
    <row r="116" spans="1:18" x14ac:dyDescent="0.25">
      <c r="A116" s="21">
        <v>42204</v>
      </c>
      <c r="B116" s="20"/>
      <c r="C116" s="90" t="s">
        <v>29</v>
      </c>
      <c r="D116" s="16">
        <v>13</v>
      </c>
      <c r="E116" s="16">
        <v>21</v>
      </c>
      <c r="F116" s="56">
        <f t="shared" si="9"/>
        <v>0.61904761904761907</v>
      </c>
      <c r="G116" s="16">
        <v>4</v>
      </c>
      <c r="H116" s="16">
        <v>6</v>
      </c>
      <c r="I116" s="56">
        <f t="shared" si="10"/>
        <v>0.66666666666666663</v>
      </c>
      <c r="J116" s="16">
        <v>2</v>
      </c>
      <c r="K116" s="16">
        <v>2</v>
      </c>
      <c r="L116" s="56">
        <f t="shared" si="11"/>
        <v>1</v>
      </c>
      <c r="M116" s="16">
        <v>10</v>
      </c>
      <c r="N116" s="16">
        <v>5</v>
      </c>
      <c r="O116" s="16">
        <v>2</v>
      </c>
      <c r="P116" s="16">
        <v>1</v>
      </c>
      <c r="Q116" s="16">
        <v>0</v>
      </c>
      <c r="R116" s="16">
        <v>32</v>
      </c>
    </row>
    <row r="117" spans="1:18" x14ac:dyDescent="0.25">
      <c r="A117" s="21">
        <v>42204</v>
      </c>
      <c r="B117" s="20"/>
      <c r="C117" s="90" t="s">
        <v>98</v>
      </c>
      <c r="D117" s="16">
        <v>6</v>
      </c>
      <c r="E117" s="16">
        <v>16</v>
      </c>
      <c r="F117" s="56">
        <f t="shared" si="9"/>
        <v>0.375</v>
      </c>
      <c r="G117" s="16">
        <v>4</v>
      </c>
      <c r="H117" s="16">
        <v>10</v>
      </c>
      <c r="I117" s="56">
        <f t="shared" si="10"/>
        <v>0.4</v>
      </c>
      <c r="J117" s="16">
        <v>3</v>
      </c>
      <c r="K117" s="16">
        <v>4</v>
      </c>
      <c r="L117" s="56">
        <f t="shared" si="11"/>
        <v>0.75</v>
      </c>
      <c r="M117" s="16">
        <v>5</v>
      </c>
      <c r="N117" s="16">
        <v>4</v>
      </c>
      <c r="O117" s="16">
        <v>0</v>
      </c>
      <c r="P117" s="16">
        <v>1</v>
      </c>
      <c r="Q117" s="16">
        <v>1</v>
      </c>
      <c r="R117" s="16">
        <v>19</v>
      </c>
    </row>
    <row r="118" spans="1:18" x14ac:dyDescent="0.25">
      <c r="A118" s="43">
        <v>42204</v>
      </c>
      <c r="B118" s="43"/>
      <c r="C118" s="88" t="s">
        <v>32</v>
      </c>
      <c r="D118" s="23">
        <v>0</v>
      </c>
      <c r="E118" s="23">
        <v>1</v>
      </c>
      <c r="F118" s="38">
        <f t="shared" si="9"/>
        <v>0</v>
      </c>
      <c r="G118" s="23">
        <v>0</v>
      </c>
      <c r="H118" s="23">
        <v>0</v>
      </c>
      <c r="I118" s="38">
        <f t="shared" si="10"/>
        <v>0</v>
      </c>
      <c r="J118" s="23">
        <v>0</v>
      </c>
      <c r="K118" s="23">
        <v>0</v>
      </c>
      <c r="L118" s="38">
        <f t="shared" si="11"/>
        <v>0</v>
      </c>
      <c r="M118" s="23">
        <v>2</v>
      </c>
      <c r="N118" s="23">
        <v>2</v>
      </c>
      <c r="O118" s="23">
        <v>0</v>
      </c>
      <c r="P118" s="23">
        <v>2</v>
      </c>
      <c r="Q118" s="23">
        <v>1</v>
      </c>
      <c r="R118" s="25">
        <v>0</v>
      </c>
    </row>
    <row r="119" spans="1:18" x14ac:dyDescent="0.25">
      <c r="A119" s="43">
        <v>42204</v>
      </c>
      <c r="B119" s="43"/>
      <c r="C119" s="88" t="s">
        <v>146</v>
      </c>
      <c r="D119" s="23">
        <v>5</v>
      </c>
      <c r="E119" s="23">
        <v>11</v>
      </c>
      <c r="F119" s="38">
        <f t="shared" si="9"/>
        <v>0.45454545454545453</v>
      </c>
      <c r="G119" s="23">
        <v>0</v>
      </c>
      <c r="H119" s="23">
        <v>0</v>
      </c>
      <c r="I119" s="38">
        <f t="shared" si="10"/>
        <v>0</v>
      </c>
      <c r="J119" s="23">
        <v>7</v>
      </c>
      <c r="K119" s="23">
        <v>7</v>
      </c>
      <c r="L119" s="38">
        <f t="shared" si="11"/>
        <v>1</v>
      </c>
      <c r="M119" s="23">
        <v>2</v>
      </c>
      <c r="N119" s="23">
        <v>2</v>
      </c>
      <c r="O119" s="23">
        <v>2</v>
      </c>
      <c r="P119" s="23">
        <v>1</v>
      </c>
      <c r="Q119" s="23">
        <v>0</v>
      </c>
      <c r="R119" s="25">
        <v>17</v>
      </c>
    </row>
    <row r="120" spans="1:18" x14ac:dyDescent="0.25">
      <c r="A120" s="43">
        <v>42206</v>
      </c>
      <c r="B120" s="43"/>
      <c r="C120" s="88" t="s">
        <v>32</v>
      </c>
      <c r="D120" s="23">
        <v>2</v>
      </c>
      <c r="E120" s="23">
        <v>3</v>
      </c>
      <c r="F120" s="38">
        <f t="shared" si="9"/>
        <v>0.66666666666666663</v>
      </c>
      <c r="G120" s="23">
        <v>0</v>
      </c>
      <c r="H120" s="23">
        <v>1</v>
      </c>
      <c r="I120" s="38">
        <f t="shared" si="10"/>
        <v>0</v>
      </c>
      <c r="J120" s="23">
        <v>2</v>
      </c>
      <c r="K120" s="23">
        <v>2</v>
      </c>
      <c r="L120" s="38">
        <f t="shared" si="11"/>
        <v>1</v>
      </c>
      <c r="M120" s="23">
        <v>5</v>
      </c>
      <c r="N120" s="23">
        <v>2</v>
      </c>
      <c r="O120" s="23">
        <v>0</v>
      </c>
      <c r="P120" s="23">
        <v>2</v>
      </c>
      <c r="Q120" s="23">
        <v>1</v>
      </c>
      <c r="R120" s="25">
        <v>6</v>
      </c>
    </row>
    <row r="121" spans="1:18" x14ac:dyDescent="0.25">
      <c r="A121" s="43">
        <v>42206</v>
      </c>
      <c r="B121" s="43"/>
      <c r="C121" s="88" t="s">
        <v>34</v>
      </c>
      <c r="D121" s="23">
        <v>1</v>
      </c>
      <c r="E121" s="23">
        <v>6</v>
      </c>
      <c r="F121" s="38">
        <f t="shared" si="9"/>
        <v>0.16666666666666666</v>
      </c>
      <c r="G121" s="23">
        <v>0</v>
      </c>
      <c r="H121" s="23">
        <v>2</v>
      </c>
      <c r="I121" s="38">
        <f t="shared" si="10"/>
        <v>0</v>
      </c>
      <c r="J121" s="23">
        <v>0</v>
      </c>
      <c r="K121" s="23">
        <v>0</v>
      </c>
      <c r="L121" s="38">
        <f t="shared" si="11"/>
        <v>0</v>
      </c>
      <c r="M121" s="23">
        <v>1</v>
      </c>
      <c r="N121" s="23">
        <v>2</v>
      </c>
      <c r="O121" s="23">
        <v>0</v>
      </c>
      <c r="P121" s="23">
        <v>0</v>
      </c>
      <c r="Q121" s="23">
        <v>0</v>
      </c>
      <c r="R121" s="25">
        <v>2</v>
      </c>
    </row>
    <row r="122" spans="1:18" x14ac:dyDescent="0.25">
      <c r="A122" s="43">
        <v>42206</v>
      </c>
      <c r="B122" s="43"/>
      <c r="C122" s="88" t="s">
        <v>124</v>
      </c>
      <c r="D122" s="23">
        <v>4</v>
      </c>
      <c r="E122" s="23">
        <v>11</v>
      </c>
      <c r="F122" s="38">
        <f t="shared" si="9"/>
        <v>0.36363636363636365</v>
      </c>
      <c r="G122" s="23">
        <v>1</v>
      </c>
      <c r="H122" s="23">
        <v>7</v>
      </c>
      <c r="I122" s="38">
        <f t="shared" si="10"/>
        <v>0.14285714285714285</v>
      </c>
      <c r="J122" s="23">
        <v>1</v>
      </c>
      <c r="K122" s="23">
        <v>2</v>
      </c>
      <c r="L122" s="38">
        <f t="shared" si="11"/>
        <v>0.5</v>
      </c>
      <c r="M122" s="23">
        <v>3</v>
      </c>
      <c r="N122" s="23">
        <v>3</v>
      </c>
      <c r="O122" s="23">
        <v>0</v>
      </c>
      <c r="P122" s="23">
        <v>2</v>
      </c>
      <c r="Q122" s="23">
        <v>0</v>
      </c>
      <c r="R122" s="25">
        <v>10</v>
      </c>
    </row>
    <row r="123" spans="1:18" x14ac:dyDescent="0.25">
      <c r="A123" s="43">
        <v>42206</v>
      </c>
      <c r="B123" s="43"/>
      <c r="C123" s="88" t="s">
        <v>146</v>
      </c>
      <c r="D123" s="23">
        <v>3</v>
      </c>
      <c r="E123" s="23">
        <v>6</v>
      </c>
      <c r="F123" s="38">
        <f t="shared" si="9"/>
        <v>0.5</v>
      </c>
      <c r="G123" s="23">
        <v>0</v>
      </c>
      <c r="H123" s="23">
        <v>0</v>
      </c>
      <c r="I123" s="38">
        <f t="shared" si="10"/>
        <v>0</v>
      </c>
      <c r="J123" s="23">
        <v>1</v>
      </c>
      <c r="K123" s="23">
        <v>2</v>
      </c>
      <c r="L123" s="38">
        <f t="shared" si="11"/>
        <v>0.5</v>
      </c>
      <c r="M123" s="23">
        <v>4</v>
      </c>
      <c r="N123" s="23">
        <v>0</v>
      </c>
      <c r="O123" s="23">
        <v>1</v>
      </c>
      <c r="P123" s="23">
        <v>3</v>
      </c>
      <c r="Q123" s="23">
        <v>6</v>
      </c>
      <c r="R123" s="25">
        <v>7</v>
      </c>
    </row>
    <row r="124" spans="1:18" x14ac:dyDescent="0.25">
      <c r="A124" s="43">
        <v>42206</v>
      </c>
      <c r="B124" s="43"/>
      <c r="C124" s="88" t="s">
        <v>98</v>
      </c>
      <c r="D124" s="23">
        <v>3</v>
      </c>
      <c r="E124" s="23">
        <v>8</v>
      </c>
      <c r="F124" s="38">
        <f t="shared" si="9"/>
        <v>0.375</v>
      </c>
      <c r="G124" s="23">
        <v>1</v>
      </c>
      <c r="H124" s="23">
        <v>2</v>
      </c>
      <c r="I124" s="38">
        <f t="shared" si="10"/>
        <v>0.5</v>
      </c>
      <c r="J124" s="23">
        <v>0</v>
      </c>
      <c r="K124" s="23">
        <v>0</v>
      </c>
      <c r="L124" s="38">
        <f t="shared" si="11"/>
        <v>0</v>
      </c>
      <c r="M124" s="23">
        <v>3</v>
      </c>
      <c r="N124" s="23">
        <v>1</v>
      </c>
      <c r="O124" s="23">
        <v>1</v>
      </c>
      <c r="P124" s="23">
        <v>2</v>
      </c>
      <c r="Q124" s="23">
        <v>0</v>
      </c>
      <c r="R124" s="25">
        <v>7</v>
      </c>
    </row>
    <row r="125" spans="1:18" x14ac:dyDescent="0.25">
      <c r="A125" s="43">
        <v>42206</v>
      </c>
      <c r="B125" s="43"/>
      <c r="C125" s="88" t="s">
        <v>106</v>
      </c>
      <c r="D125" s="23">
        <v>4</v>
      </c>
      <c r="E125" s="23">
        <v>5</v>
      </c>
      <c r="F125" s="38">
        <f t="shared" si="9"/>
        <v>0.8</v>
      </c>
      <c r="G125" s="23">
        <v>1</v>
      </c>
      <c r="H125" s="23">
        <v>1</v>
      </c>
      <c r="I125" s="38">
        <f t="shared" si="10"/>
        <v>1</v>
      </c>
      <c r="J125" s="23">
        <v>0</v>
      </c>
      <c r="K125" s="23">
        <v>0</v>
      </c>
      <c r="L125" s="38">
        <f t="shared" si="11"/>
        <v>0</v>
      </c>
      <c r="M125" s="23">
        <v>6</v>
      </c>
      <c r="N125" s="23">
        <v>3</v>
      </c>
      <c r="O125" s="23">
        <v>0</v>
      </c>
      <c r="P125" s="23">
        <v>3</v>
      </c>
      <c r="Q125" s="23">
        <v>0</v>
      </c>
      <c r="R125" s="25">
        <v>9</v>
      </c>
    </row>
    <row r="126" spans="1:18" x14ac:dyDescent="0.25">
      <c r="A126" s="72">
        <v>42207</v>
      </c>
      <c r="B126" s="43"/>
      <c r="C126" s="88" t="s">
        <v>29</v>
      </c>
      <c r="D126" s="23">
        <v>9</v>
      </c>
      <c r="E126" s="23">
        <v>32</v>
      </c>
      <c r="F126" s="38">
        <f t="shared" si="9"/>
        <v>0.28125</v>
      </c>
      <c r="G126" s="23">
        <v>2</v>
      </c>
      <c r="H126" s="23">
        <v>7</v>
      </c>
      <c r="I126" s="38">
        <f t="shared" si="10"/>
        <v>0.2857142857142857</v>
      </c>
      <c r="J126" s="23">
        <v>5</v>
      </c>
      <c r="K126" s="23">
        <v>7</v>
      </c>
      <c r="L126" s="38">
        <f t="shared" si="11"/>
        <v>0.7142857142857143</v>
      </c>
      <c r="M126" s="23">
        <v>8</v>
      </c>
      <c r="N126" s="23">
        <v>5</v>
      </c>
      <c r="O126" s="23">
        <v>0</v>
      </c>
      <c r="P126" s="23">
        <v>2</v>
      </c>
      <c r="Q126" s="23">
        <v>1</v>
      </c>
      <c r="R126" s="25">
        <v>25</v>
      </c>
    </row>
    <row r="127" spans="1:18" x14ac:dyDescent="0.25">
      <c r="A127" s="72">
        <v>42207</v>
      </c>
      <c r="B127" s="43"/>
      <c r="C127" s="88" t="s">
        <v>100</v>
      </c>
      <c r="D127" s="23">
        <v>0</v>
      </c>
      <c r="E127" s="23">
        <v>6</v>
      </c>
      <c r="F127" s="38">
        <f t="shared" si="9"/>
        <v>0</v>
      </c>
      <c r="G127" s="23">
        <v>0</v>
      </c>
      <c r="H127" s="23">
        <v>0</v>
      </c>
      <c r="I127" s="38">
        <f t="shared" si="10"/>
        <v>0</v>
      </c>
      <c r="J127" s="23">
        <v>0</v>
      </c>
      <c r="K127" s="23">
        <v>0</v>
      </c>
      <c r="L127" s="38">
        <f t="shared" si="11"/>
        <v>0</v>
      </c>
      <c r="M127" s="23">
        <v>2</v>
      </c>
      <c r="N127" s="23">
        <v>0</v>
      </c>
      <c r="O127" s="23">
        <v>1</v>
      </c>
      <c r="P127" s="23">
        <v>0</v>
      </c>
      <c r="Q127" s="23">
        <v>1</v>
      </c>
      <c r="R127" s="25">
        <v>0</v>
      </c>
    </row>
    <row r="128" spans="1:18" x14ac:dyDescent="0.25">
      <c r="A128" s="72">
        <v>42207</v>
      </c>
      <c r="B128" s="43"/>
      <c r="C128" s="88" t="s">
        <v>124</v>
      </c>
      <c r="D128" s="23">
        <v>5</v>
      </c>
      <c r="E128" s="23">
        <v>18</v>
      </c>
      <c r="F128" s="38">
        <f t="shared" si="9"/>
        <v>0.27777777777777779</v>
      </c>
      <c r="G128" s="23">
        <v>1</v>
      </c>
      <c r="H128" s="23">
        <v>5</v>
      </c>
      <c r="I128" s="38">
        <f t="shared" si="10"/>
        <v>0.2</v>
      </c>
      <c r="J128" s="23">
        <v>5</v>
      </c>
      <c r="K128" s="23">
        <v>5</v>
      </c>
      <c r="L128" s="38">
        <f t="shared" si="11"/>
        <v>1</v>
      </c>
      <c r="M128" s="23">
        <v>7</v>
      </c>
      <c r="N128" s="23">
        <v>3</v>
      </c>
      <c r="O128" s="23">
        <v>0</v>
      </c>
      <c r="P128" s="23">
        <v>3</v>
      </c>
      <c r="Q128" s="23">
        <v>1</v>
      </c>
      <c r="R128" s="25">
        <v>16</v>
      </c>
    </row>
    <row r="129" spans="1:18" x14ac:dyDescent="0.25">
      <c r="A129" s="77">
        <v>42213</v>
      </c>
      <c r="B129" s="43"/>
      <c r="C129" s="88" t="s">
        <v>34</v>
      </c>
      <c r="D129" s="23">
        <v>2</v>
      </c>
      <c r="E129" s="23">
        <v>6</v>
      </c>
      <c r="F129" s="38">
        <f t="shared" si="9"/>
        <v>0.33333333333333331</v>
      </c>
      <c r="G129" s="23">
        <v>0</v>
      </c>
      <c r="H129" s="23">
        <v>1</v>
      </c>
      <c r="I129" s="38">
        <f t="shared" si="10"/>
        <v>0</v>
      </c>
      <c r="J129" s="23">
        <v>3</v>
      </c>
      <c r="K129" s="23">
        <v>4</v>
      </c>
      <c r="L129" s="38">
        <f t="shared" si="11"/>
        <v>0.75</v>
      </c>
      <c r="M129" s="23">
        <v>1</v>
      </c>
      <c r="N129" s="23">
        <v>3</v>
      </c>
      <c r="O129" s="23">
        <v>2</v>
      </c>
      <c r="P129" s="23">
        <v>1</v>
      </c>
      <c r="Q129" s="23">
        <v>0</v>
      </c>
      <c r="R129" s="25">
        <v>7</v>
      </c>
    </row>
    <row r="130" spans="1:18" x14ac:dyDescent="0.25">
      <c r="A130" s="43">
        <v>42214</v>
      </c>
      <c r="B130" s="43"/>
      <c r="C130" s="88" t="s">
        <v>146</v>
      </c>
      <c r="D130" s="23">
        <v>1</v>
      </c>
      <c r="E130" s="23">
        <v>3</v>
      </c>
      <c r="F130" s="38">
        <f t="shared" ref="F130:F141" si="12">IF(E130=0,0,D130/E130)</f>
        <v>0.33333333333333331</v>
      </c>
      <c r="G130" s="23">
        <v>0</v>
      </c>
      <c r="H130" s="23">
        <v>0</v>
      </c>
      <c r="I130" s="38">
        <f t="shared" ref="I130:I141" si="13">IF(H130=0,0,G130/H130)</f>
        <v>0</v>
      </c>
      <c r="J130" s="23">
        <v>1</v>
      </c>
      <c r="K130" s="23">
        <v>1</v>
      </c>
      <c r="L130" s="38">
        <f t="shared" ref="L130:L141" si="14">IF(K130=0,0,J130/K130)</f>
        <v>1</v>
      </c>
      <c r="M130" s="23">
        <v>4</v>
      </c>
      <c r="N130" s="23">
        <v>0</v>
      </c>
      <c r="O130" s="23">
        <v>1</v>
      </c>
      <c r="P130" s="23">
        <v>1</v>
      </c>
      <c r="Q130" s="23">
        <v>4</v>
      </c>
      <c r="R130" s="25">
        <v>3</v>
      </c>
    </row>
    <row r="131" spans="1:18" x14ac:dyDescent="0.25">
      <c r="A131" s="43">
        <v>42214</v>
      </c>
      <c r="B131" s="43"/>
      <c r="C131" s="88" t="s">
        <v>100</v>
      </c>
      <c r="D131" s="23">
        <v>2</v>
      </c>
      <c r="E131" s="23">
        <v>3</v>
      </c>
      <c r="F131" s="38">
        <f t="shared" si="12"/>
        <v>0.66666666666666663</v>
      </c>
      <c r="G131" s="23">
        <v>0</v>
      </c>
      <c r="H131" s="23">
        <v>0</v>
      </c>
      <c r="I131" s="38">
        <f t="shared" si="13"/>
        <v>0</v>
      </c>
      <c r="J131" s="23">
        <v>0</v>
      </c>
      <c r="K131" s="23">
        <v>0</v>
      </c>
      <c r="L131" s="38">
        <f t="shared" si="14"/>
        <v>0</v>
      </c>
      <c r="M131" s="23">
        <v>2</v>
      </c>
      <c r="N131" s="23">
        <v>1</v>
      </c>
      <c r="O131" s="23">
        <v>0</v>
      </c>
      <c r="P131" s="23">
        <v>1</v>
      </c>
      <c r="Q131" s="23">
        <v>0</v>
      </c>
      <c r="R131" s="25">
        <v>4</v>
      </c>
    </row>
    <row r="132" spans="1:18" x14ac:dyDescent="0.25">
      <c r="A132" s="43">
        <v>42214</v>
      </c>
      <c r="B132" s="43"/>
      <c r="C132" s="88" t="s">
        <v>32</v>
      </c>
      <c r="D132" s="23">
        <v>6</v>
      </c>
      <c r="E132" s="23">
        <v>8</v>
      </c>
      <c r="F132" s="38">
        <f t="shared" si="12"/>
        <v>0.75</v>
      </c>
      <c r="G132" s="23">
        <v>0</v>
      </c>
      <c r="H132" s="23">
        <v>0</v>
      </c>
      <c r="I132" s="38">
        <f t="shared" si="13"/>
        <v>0</v>
      </c>
      <c r="J132" s="23">
        <v>3</v>
      </c>
      <c r="K132" s="23">
        <v>4</v>
      </c>
      <c r="L132" s="38">
        <f t="shared" si="14"/>
        <v>0.75</v>
      </c>
      <c r="M132" s="23">
        <v>8</v>
      </c>
      <c r="N132" s="23">
        <v>3</v>
      </c>
      <c r="O132" s="23">
        <v>0</v>
      </c>
      <c r="P132" s="23">
        <v>0</v>
      </c>
      <c r="Q132" s="23">
        <v>2</v>
      </c>
      <c r="R132" s="25">
        <v>15</v>
      </c>
    </row>
    <row r="133" spans="1:18" x14ac:dyDescent="0.25">
      <c r="A133" s="43">
        <v>42214</v>
      </c>
      <c r="B133" s="43"/>
      <c r="C133" s="88" t="s">
        <v>124</v>
      </c>
      <c r="D133" s="23">
        <v>5</v>
      </c>
      <c r="E133" s="23">
        <v>13</v>
      </c>
      <c r="F133" s="38">
        <f t="shared" si="12"/>
        <v>0.38461538461538464</v>
      </c>
      <c r="G133" s="23">
        <v>2</v>
      </c>
      <c r="H133" s="23">
        <v>5</v>
      </c>
      <c r="I133" s="38">
        <f t="shared" si="13"/>
        <v>0.4</v>
      </c>
      <c r="J133" s="23">
        <v>2</v>
      </c>
      <c r="K133" s="23">
        <v>2</v>
      </c>
      <c r="L133" s="38">
        <f t="shared" si="14"/>
        <v>1</v>
      </c>
      <c r="M133" s="23">
        <v>2</v>
      </c>
      <c r="N133" s="23">
        <v>2</v>
      </c>
      <c r="O133" s="23">
        <v>1</v>
      </c>
      <c r="P133" s="23">
        <v>5</v>
      </c>
      <c r="Q133" s="23">
        <v>0</v>
      </c>
      <c r="R133" s="25">
        <v>14</v>
      </c>
    </row>
    <row r="134" spans="1:18" x14ac:dyDescent="0.25">
      <c r="A134" s="21">
        <v>42214</v>
      </c>
      <c r="B134" s="20"/>
      <c r="C134" s="90" t="s">
        <v>29</v>
      </c>
      <c r="D134" s="16">
        <v>9</v>
      </c>
      <c r="E134" s="16">
        <v>22</v>
      </c>
      <c r="F134" s="70">
        <f t="shared" si="12"/>
        <v>0.40909090909090912</v>
      </c>
      <c r="G134" s="16">
        <v>4</v>
      </c>
      <c r="H134" s="16">
        <v>8</v>
      </c>
      <c r="I134" s="70">
        <f t="shared" si="13"/>
        <v>0.5</v>
      </c>
      <c r="J134" s="16">
        <v>5</v>
      </c>
      <c r="K134" s="16">
        <v>7</v>
      </c>
      <c r="L134" s="70">
        <f t="shared" si="14"/>
        <v>0.7142857142857143</v>
      </c>
      <c r="M134" s="16">
        <v>7</v>
      </c>
      <c r="N134" s="16">
        <v>2</v>
      </c>
      <c r="O134" s="16">
        <v>3</v>
      </c>
      <c r="P134" s="16">
        <v>2</v>
      </c>
      <c r="Q134" s="16">
        <v>0</v>
      </c>
      <c r="R134" s="16">
        <v>27</v>
      </c>
    </row>
    <row r="135" spans="1:18" x14ac:dyDescent="0.25">
      <c r="A135" s="71">
        <v>42215</v>
      </c>
      <c r="B135" s="20"/>
      <c r="C135" s="90" t="s">
        <v>34</v>
      </c>
      <c r="D135" s="16">
        <v>1</v>
      </c>
      <c r="E135" s="16">
        <v>5</v>
      </c>
      <c r="F135" s="70">
        <f t="shared" si="12"/>
        <v>0.2</v>
      </c>
      <c r="G135" s="16">
        <v>0</v>
      </c>
      <c r="H135" s="16">
        <v>2</v>
      </c>
      <c r="I135" s="70">
        <f t="shared" si="13"/>
        <v>0</v>
      </c>
      <c r="J135" s="16">
        <v>1</v>
      </c>
      <c r="K135" s="16">
        <v>2</v>
      </c>
      <c r="L135" s="70">
        <f t="shared" si="14"/>
        <v>0.5</v>
      </c>
      <c r="M135" s="16">
        <v>4</v>
      </c>
      <c r="N135" s="16">
        <v>5</v>
      </c>
      <c r="O135" s="16">
        <v>3</v>
      </c>
      <c r="P135" s="16">
        <v>1</v>
      </c>
      <c r="Q135" s="16">
        <v>0</v>
      </c>
      <c r="R135" s="16">
        <v>3</v>
      </c>
    </row>
    <row r="136" spans="1:18" x14ac:dyDescent="0.25">
      <c r="A136" s="71">
        <v>42215</v>
      </c>
      <c r="B136" s="20"/>
      <c r="C136" s="90" t="s">
        <v>98</v>
      </c>
      <c r="D136" s="16">
        <v>2</v>
      </c>
      <c r="E136" s="16">
        <v>13</v>
      </c>
      <c r="F136" s="70">
        <f t="shared" si="12"/>
        <v>0.15384615384615385</v>
      </c>
      <c r="G136" s="16">
        <v>2</v>
      </c>
      <c r="H136" s="16">
        <v>7</v>
      </c>
      <c r="I136" s="70">
        <f t="shared" si="13"/>
        <v>0.2857142857142857</v>
      </c>
      <c r="J136" s="16">
        <v>5</v>
      </c>
      <c r="K136" s="16">
        <v>6</v>
      </c>
      <c r="L136" s="70">
        <f t="shared" si="14"/>
        <v>0.83333333333333337</v>
      </c>
      <c r="M136" s="16">
        <v>4</v>
      </c>
      <c r="N136" s="16">
        <v>2</v>
      </c>
      <c r="O136" s="16">
        <v>2</v>
      </c>
      <c r="P136" s="16">
        <v>2</v>
      </c>
      <c r="Q136" s="16">
        <v>2</v>
      </c>
      <c r="R136" s="16">
        <v>11</v>
      </c>
    </row>
    <row r="137" spans="1:18" x14ac:dyDescent="0.25">
      <c r="A137" s="21">
        <v>42216</v>
      </c>
      <c r="B137" s="20"/>
      <c r="C137" s="90" t="s">
        <v>32</v>
      </c>
      <c r="D137" s="16">
        <v>0</v>
      </c>
      <c r="E137" s="16">
        <v>1</v>
      </c>
      <c r="F137" s="70">
        <f t="shared" si="12"/>
        <v>0</v>
      </c>
      <c r="G137" s="16">
        <v>0</v>
      </c>
      <c r="H137" s="16">
        <v>0</v>
      </c>
      <c r="I137" s="70">
        <f t="shared" si="13"/>
        <v>0</v>
      </c>
      <c r="J137" s="16">
        <v>2</v>
      </c>
      <c r="K137" s="16">
        <v>2</v>
      </c>
      <c r="L137" s="70">
        <f t="shared" si="14"/>
        <v>1</v>
      </c>
      <c r="M137" s="16">
        <v>2</v>
      </c>
      <c r="N137" s="16">
        <v>1</v>
      </c>
      <c r="O137" s="16">
        <v>1</v>
      </c>
      <c r="P137" s="16">
        <v>2</v>
      </c>
      <c r="Q137" s="16">
        <v>1</v>
      </c>
      <c r="R137" s="16">
        <v>2</v>
      </c>
    </row>
    <row r="138" spans="1:18" x14ac:dyDescent="0.25">
      <c r="A138" s="21">
        <v>42216</v>
      </c>
      <c r="B138" s="20"/>
      <c r="C138" s="90" t="s">
        <v>124</v>
      </c>
      <c r="D138" s="16">
        <v>6</v>
      </c>
      <c r="E138" s="16">
        <v>12</v>
      </c>
      <c r="F138" s="70">
        <f t="shared" si="12"/>
        <v>0.5</v>
      </c>
      <c r="G138" s="16">
        <v>3</v>
      </c>
      <c r="H138" s="16">
        <v>4</v>
      </c>
      <c r="I138" s="70">
        <f t="shared" si="13"/>
        <v>0.75</v>
      </c>
      <c r="J138" s="16">
        <v>5</v>
      </c>
      <c r="K138" s="16">
        <v>6</v>
      </c>
      <c r="L138" s="70">
        <f t="shared" si="14"/>
        <v>0.83333333333333337</v>
      </c>
      <c r="M138" s="16">
        <v>2</v>
      </c>
      <c r="N138" s="16">
        <v>2</v>
      </c>
      <c r="O138" s="16">
        <v>0</v>
      </c>
      <c r="P138" s="16">
        <v>1</v>
      </c>
      <c r="Q138" s="16">
        <v>0</v>
      </c>
      <c r="R138" s="16">
        <v>20</v>
      </c>
    </row>
    <row r="139" spans="1:18" x14ac:dyDescent="0.25">
      <c r="A139" s="21">
        <v>42216</v>
      </c>
      <c r="B139" s="20"/>
      <c r="C139" s="90" t="s">
        <v>29</v>
      </c>
      <c r="D139" s="16">
        <v>6</v>
      </c>
      <c r="E139" s="16">
        <v>21</v>
      </c>
      <c r="F139" s="70">
        <f t="shared" si="12"/>
        <v>0.2857142857142857</v>
      </c>
      <c r="G139" s="16">
        <v>1</v>
      </c>
      <c r="H139" s="16">
        <v>5</v>
      </c>
      <c r="I139" s="70">
        <f t="shared" si="13"/>
        <v>0.2</v>
      </c>
      <c r="J139" s="16">
        <v>8</v>
      </c>
      <c r="K139" s="16">
        <v>8</v>
      </c>
      <c r="L139" s="70">
        <f t="shared" si="14"/>
        <v>1</v>
      </c>
      <c r="M139" s="16">
        <v>10</v>
      </c>
      <c r="N139" s="16">
        <v>5</v>
      </c>
      <c r="O139" s="16">
        <v>2</v>
      </c>
      <c r="P139" s="16">
        <v>4</v>
      </c>
      <c r="Q139" s="16">
        <v>0</v>
      </c>
      <c r="R139" s="16">
        <v>21</v>
      </c>
    </row>
    <row r="140" spans="1:18" x14ac:dyDescent="0.25">
      <c r="A140" s="21">
        <v>42216</v>
      </c>
      <c r="B140" s="20"/>
      <c r="C140" s="90" t="s">
        <v>106</v>
      </c>
      <c r="D140" s="16">
        <v>2</v>
      </c>
      <c r="E140" s="16">
        <v>4</v>
      </c>
      <c r="F140" s="70">
        <f t="shared" si="12"/>
        <v>0.5</v>
      </c>
      <c r="G140" s="16">
        <v>0</v>
      </c>
      <c r="H140" s="16">
        <v>2</v>
      </c>
      <c r="I140" s="70">
        <f t="shared" si="13"/>
        <v>0</v>
      </c>
      <c r="J140" s="16">
        <v>2</v>
      </c>
      <c r="K140" s="16">
        <v>2</v>
      </c>
      <c r="L140" s="70">
        <f t="shared" si="14"/>
        <v>1</v>
      </c>
      <c r="M140" s="16">
        <v>2</v>
      </c>
      <c r="N140" s="16">
        <v>1</v>
      </c>
      <c r="O140" s="16">
        <v>2</v>
      </c>
      <c r="P140" s="16">
        <v>0</v>
      </c>
      <c r="Q140" s="16">
        <v>0</v>
      </c>
      <c r="R140" s="16">
        <v>6</v>
      </c>
    </row>
    <row r="141" spans="1:18" x14ac:dyDescent="0.25">
      <c r="A141" s="21">
        <v>42216</v>
      </c>
      <c r="B141" s="20"/>
      <c r="C141" s="90" t="s">
        <v>146</v>
      </c>
      <c r="D141" s="16">
        <v>1</v>
      </c>
      <c r="E141" s="16">
        <v>4</v>
      </c>
      <c r="F141" s="70">
        <f t="shared" si="12"/>
        <v>0.25</v>
      </c>
      <c r="G141" s="16">
        <v>0</v>
      </c>
      <c r="H141" s="16">
        <v>0</v>
      </c>
      <c r="I141" s="70">
        <f t="shared" si="13"/>
        <v>0</v>
      </c>
      <c r="J141" s="16">
        <v>0</v>
      </c>
      <c r="K141" s="16">
        <v>0</v>
      </c>
      <c r="L141" s="70">
        <f t="shared" si="14"/>
        <v>0</v>
      </c>
      <c r="M141" s="16">
        <v>7</v>
      </c>
      <c r="N141" s="16">
        <v>1</v>
      </c>
      <c r="O141" s="16">
        <v>1</v>
      </c>
      <c r="P141" s="16">
        <v>0</v>
      </c>
      <c r="Q141" s="16">
        <v>2</v>
      </c>
      <c r="R141" s="16">
        <v>2</v>
      </c>
    </row>
    <row r="142" spans="1:18" x14ac:dyDescent="0.25">
      <c r="A142" s="73">
        <v>42217</v>
      </c>
      <c r="B142" s="20"/>
      <c r="C142" s="92" t="s">
        <v>29</v>
      </c>
      <c r="D142" s="16">
        <v>8</v>
      </c>
      <c r="E142" s="16">
        <v>17</v>
      </c>
      <c r="F142" s="75">
        <f t="shared" ref="F142:F149" si="15">IF(E142=0,0,D142/E142)</f>
        <v>0.47058823529411764</v>
      </c>
      <c r="G142" s="16">
        <v>4</v>
      </c>
      <c r="H142" s="16">
        <v>10</v>
      </c>
      <c r="I142" s="75">
        <f t="shared" ref="I142:I149" si="16">IF(H142=0,0,G142/H142)</f>
        <v>0.4</v>
      </c>
      <c r="J142" s="16">
        <v>0</v>
      </c>
      <c r="K142" s="16">
        <v>0</v>
      </c>
      <c r="L142" s="75">
        <f t="shared" ref="L142:L149" si="17">IF(K142=0,0,J142/K142)</f>
        <v>0</v>
      </c>
      <c r="M142" s="16">
        <v>4</v>
      </c>
      <c r="N142" s="16">
        <v>3</v>
      </c>
      <c r="O142" s="16">
        <v>0</v>
      </c>
      <c r="P142" s="16">
        <v>1</v>
      </c>
      <c r="Q142" s="16">
        <v>0</v>
      </c>
      <c r="R142" s="16">
        <v>20</v>
      </c>
    </row>
    <row r="143" spans="1:18" x14ac:dyDescent="0.25">
      <c r="A143" s="77">
        <v>42217</v>
      </c>
      <c r="B143" s="43"/>
      <c r="C143" s="97" t="s">
        <v>98</v>
      </c>
      <c r="D143" s="23">
        <v>11</v>
      </c>
      <c r="E143" s="23">
        <v>23</v>
      </c>
      <c r="F143" s="38">
        <f t="shared" si="15"/>
        <v>0.47826086956521741</v>
      </c>
      <c r="G143" s="23">
        <v>3</v>
      </c>
      <c r="H143" s="23">
        <v>12</v>
      </c>
      <c r="I143" s="38">
        <f t="shared" si="16"/>
        <v>0.25</v>
      </c>
      <c r="J143" s="23">
        <v>10</v>
      </c>
      <c r="K143" s="23">
        <v>11</v>
      </c>
      <c r="L143" s="38">
        <f t="shared" si="17"/>
        <v>0.90909090909090906</v>
      </c>
      <c r="M143" s="23">
        <v>1</v>
      </c>
      <c r="N143" s="23">
        <v>1</v>
      </c>
      <c r="O143" s="23">
        <v>2</v>
      </c>
      <c r="P143" s="23">
        <v>1</v>
      </c>
      <c r="Q143" s="23">
        <v>2</v>
      </c>
      <c r="R143" s="25">
        <v>35</v>
      </c>
    </row>
    <row r="144" spans="1:18" x14ac:dyDescent="0.25">
      <c r="A144" s="77">
        <v>42218</v>
      </c>
      <c r="B144" s="43"/>
      <c r="C144" s="97" t="s">
        <v>106</v>
      </c>
      <c r="D144" s="23">
        <v>2</v>
      </c>
      <c r="E144" s="23">
        <v>4</v>
      </c>
      <c r="F144" s="38">
        <f t="shared" si="15"/>
        <v>0.5</v>
      </c>
      <c r="G144" s="23">
        <v>1</v>
      </c>
      <c r="H144" s="23">
        <v>1</v>
      </c>
      <c r="I144" s="38">
        <f t="shared" si="16"/>
        <v>1</v>
      </c>
      <c r="J144" s="23">
        <v>1</v>
      </c>
      <c r="K144" s="23">
        <v>2</v>
      </c>
      <c r="L144" s="38">
        <f t="shared" si="17"/>
        <v>0.5</v>
      </c>
      <c r="M144" s="23">
        <v>3</v>
      </c>
      <c r="N144" s="23">
        <v>3</v>
      </c>
      <c r="O144" s="23">
        <v>0</v>
      </c>
      <c r="P144" s="23">
        <v>1</v>
      </c>
      <c r="Q144" s="23">
        <v>0</v>
      </c>
      <c r="R144" s="25">
        <v>6</v>
      </c>
    </row>
    <row r="145" spans="1:18" x14ac:dyDescent="0.25">
      <c r="A145" s="77">
        <v>42218</v>
      </c>
      <c r="B145" s="43"/>
      <c r="C145" s="97" t="s">
        <v>100</v>
      </c>
      <c r="D145" s="23">
        <v>3</v>
      </c>
      <c r="E145" s="23">
        <v>5</v>
      </c>
      <c r="F145" s="38">
        <f t="shared" si="15"/>
        <v>0.6</v>
      </c>
      <c r="G145" s="23">
        <v>0</v>
      </c>
      <c r="H145" s="23">
        <v>0</v>
      </c>
      <c r="I145" s="38">
        <f t="shared" si="16"/>
        <v>0</v>
      </c>
      <c r="J145" s="23">
        <v>0</v>
      </c>
      <c r="K145" s="23">
        <v>1</v>
      </c>
      <c r="L145" s="38">
        <f t="shared" si="17"/>
        <v>0</v>
      </c>
      <c r="M145" s="23">
        <v>4</v>
      </c>
      <c r="N145" s="23">
        <v>0</v>
      </c>
      <c r="O145" s="23">
        <v>2</v>
      </c>
      <c r="P145" s="23">
        <v>2</v>
      </c>
      <c r="Q145" s="23">
        <v>2</v>
      </c>
      <c r="R145" s="25">
        <v>6</v>
      </c>
    </row>
    <row r="146" spans="1:18" x14ac:dyDescent="0.25">
      <c r="A146" s="77">
        <v>42218</v>
      </c>
      <c r="B146" s="43"/>
      <c r="C146" s="97" t="s">
        <v>34</v>
      </c>
      <c r="D146" s="23">
        <v>3</v>
      </c>
      <c r="E146" s="23">
        <v>8</v>
      </c>
      <c r="F146" s="38">
        <f t="shared" si="15"/>
        <v>0.375</v>
      </c>
      <c r="G146" s="23">
        <v>0</v>
      </c>
      <c r="H146" s="23">
        <v>1</v>
      </c>
      <c r="I146" s="38">
        <f t="shared" si="16"/>
        <v>0</v>
      </c>
      <c r="J146" s="23">
        <v>4</v>
      </c>
      <c r="K146" s="23">
        <v>4</v>
      </c>
      <c r="L146" s="38">
        <f t="shared" si="17"/>
        <v>1</v>
      </c>
      <c r="M146" s="23">
        <v>3</v>
      </c>
      <c r="N146" s="23">
        <v>4</v>
      </c>
      <c r="O146" s="23">
        <v>3</v>
      </c>
      <c r="P146" s="23">
        <v>3</v>
      </c>
      <c r="Q146" s="23">
        <v>0</v>
      </c>
      <c r="R146" s="25">
        <v>10</v>
      </c>
    </row>
    <row r="147" spans="1:18" x14ac:dyDescent="0.25">
      <c r="A147" s="77">
        <v>42218</v>
      </c>
      <c r="B147" s="43"/>
      <c r="C147" s="97" t="s">
        <v>124</v>
      </c>
      <c r="D147" s="23">
        <v>1</v>
      </c>
      <c r="E147" s="23">
        <v>3</v>
      </c>
      <c r="F147" s="38">
        <f t="shared" si="15"/>
        <v>0.33333333333333331</v>
      </c>
      <c r="G147" s="23">
        <v>0</v>
      </c>
      <c r="H147" s="23">
        <v>2</v>
      </c>
      <c r="I147" s="38">
        <f t="shared" si="16"/>
        <v>0</v>
      </c>
      <c r="J147" s="23">
        <v>0</v>
      </c>
      <c r="K147" s="23">
        <v>0</v>
      </c>
      <c r="L147" s="38">
        <f t="shared" si="17"/>
        <v>0</v>
      </c>
      <c r="M147" s="23">
        <v>4</v>
      </c>
      <c r="N147" s="23">
        <v>2</v>
      </c>
      <c r="O147" s="23">
        <v>0</v>
      </c>
      <c r="P147" s="23">
        <v>2</v>
      </c>
      <c r="Q147" s="23">
        <v>0</v>
      </c>
      <c r="R147" s="25">
        <v>2</v>
      </c>
    </row>
    <row r="148" spans="1:18" x14ac:dyDescent="0.25">
      <c r="A148" s="77">
        <v>42218</v>
      </c>
      <c r="B148" s="43"/>
      <c r="C148" s="97" t="s">
        <v>146</v>
      </c>
      <c r="D148" s="23">
        <v>3</v>
      </c>
      <c r="E148" s="23">
        <v>8</v>
      </c>
      <c r="F148" s="38">
        <f t="shared" si="15"/>
        <v>0.375</v>
      </c>
      <c r="G148" s="23">
        <v>0</v>
      </c>
      <c r="H148" s="23">
        <v>0</v>
      </c>
      <c r="I148" s="38">
        <f t="shared" si="16"/>
        <v>0</v>
      </c>
      <c r="J148" s="23">
        <v>0</v>
      </c>
      <c r="K148" s="23">
        <v>0</v>
      </c>
      <c r="L148" s="38">
        <f t="shared" si="17"/>
        <v>0</v>
      </c>
      <c r="M148" s="23">
        <v>9</v>
      </c>
      <c r="N148" s="23">
        <v>0</v>
      </c>
      <c r="O148" s="23">
        <v>0</v>
      </c>
      <c r="P148" s="23">
        <v>0</v>
      </c>
      <c r="Q148" s="23">
        <v>4</v>
      </c>
      <c r="R148" s="25">
        <v>6</v>
      </c>
    </row>
    <row r="149" spans="1:18" x14ac:dyDescent="0.25">
      <c r="A149" s="77">
        <v>42218</v>
      </c>
      <c r="B149" s="43"/>
      <c r="C149" s="97" t="s">
        <v>32</v>
      </c>
      <c r="D149" s="23">
        <v>3</v>
      </c>
      <c r="E149" s="23">
        <v>5</v>
      </c>
      <c r="F149" s="38">
        <f t="shared" si="15"/>
        <v>0.6</v>
      </c>
      <c r="G149" s="23">
        <v>0</v>
      </c>
      <c r="H149" s="23">
        <v>0</v>
      </c>
      <c r="I149" s="38">
        <f t="shared" si="16"/>
        <v>0</v>
      </c>
      <c r="J149" s="23">
        <v>0</v>
      </c>
      <c r="K149" s="23">
        <v>0</v>
      </c>
      <c r="L149" s="38">
        <f t="shared" si="17"/>
        <v>0</v>
      </c>
      <c r="M149" s="23">
        <v>4</v>
      </c>
      <c r="N149" s="23">
        <v>3</v>
      </c>
      <c r="O149" s="23">
        <v>2</v>
      </c>
      <c r="P149" s="23">
        <v>1</v>
      </c>
      <c r="Q149" s="23">
        <v>0</v>
      </c>
      <c r="R149" s="25">
        <v>6</v>
      </c>
    </row>
    <row r="150" spans="1:18" x14ac:dyDescent="0.25">
      <c r="A150" s="77">
        <v>42220</v>
      </c>
      <c r="B150" s="43"/>
      <c r="C150" s="88" t="s">
        <v>32</v>
      </c>
      <c r="D150" s="23">
        <v>1</v>
      </c>
      <c r="E150" s="23">
        <v>3</v>
      </c>
      <c r="F150" s="38">
        <f t="shared" ref="F150:F168" si="18">IF(E150=0,0,D150/E150)</f>
        <v>0.33333333333333331</v>
      </c>
      <c r="G150" s="23">
        <v>0</v>
      </c>
      <c r="H150" s="23">
        <v>0</v>
      </c>
      <c r="I150" s="38">
        <f t="shared" ref="I150:I168" si="19">IF(H150=0,0,G150/H150)</f>
        <v>0</v>
      </c>
      <c r="J150" s="23">
        <v>0</v>
      </c>
      <c r="K150" s="23">
        <v>0</v>
      </c>
      <c r="L150" s="38">
        <f t="shared" ref="L150:L168" si="20">IF(K150=0,0,J150/K150)</f>
        <v>0</v>
      </c>
      <c r="M150" s="23">
        <v>11</v>
      </c>
      <c r="N150" s="23">
        <v>4</v>
      </c>
      <c r="O150" s="23">
        <v>1</v>
      </c>
      <c r="P150" s="23">
        <v>2</v>
      </c>
      <c r="Q150" s="23">
        <v>1</v>
      </c>
      <c r="R150" s="25">
        <v>2</v>
      </c>
    </row>
    <row r="151" spans="1:18" x14ac:dyDescent="0.25">
      <c r="A151" s="77">
        <v>42220</v>
      </c>
      <c r="B151" s="43"/>
      <c r="C151" s="88" t="s">
        <v>29</v>
      </c>
      <c r="D151" s="23">
        <v>5</v>
      </c>
      <c r="E151" s="23">
        <v>14</v>
      </c>
      <c r="F151" s="38">
        <f t="shared" si="18"/>
        <v>0.35714285714285715</v>
      </c>
      <c r="G151" s="23">
        <v>1</v>
      </c>
      <c r="H151" s="23">
        <v>7</v>
      </c>
      <c r="I151" s="38">
        <f t="shared" si="19"/>
        <v>0.14285714285714285</v>
      </c>
      <c r="J151" s="23">
        <v>2</v>
      </c>
      <c r="K151" s="23">
        <v>2</v>
      </c>
      <c r="L151" s="38">
        <f t="shared" si="20"/>
        <v>1</v>
      </c>
      <c r="M151" s="23">
        <v>5</v>
      </c>
      <c r="N151" s="23">
        <v>2</v>
      </c>
      <c r="O151" s="23">
        <v>1</v>
      </c>
      <c r="P151" s="23">
        <v>4</v>
      </c>
      <c r="Q151" s="23">
        <v>2</v>
      </c>
      <c r="R151" s="25">
        <v>13</v>
      </c>
    </row>
    <row r="152" spans="1:18" x14ac:dyDescent="0.25">
      <c r="A152" s="77">
        <v>42220</v>
      </c>
      <c r="B152" s="43"/>
      <c r="C152" s="88" t="s">
        <v>34</v>
      </c>
      <c r="D152" s="23">
        <v>3</v>
      </c>
      <c r="E152" s="23">
        <v>5</v>
      </c>
      <c r="F152" s="38">
        <f t="shared" si="18"/>
        <v>0.6</v>
      </c>
      <c r="G152" s="23">
        <v>2</v>
      </c>
      <c r="H152" s="23">
        <v>3</v>
      </c>
      <c r="I152" s="38">
        <f t="shared" si="19"/>
        <v>0.66666666666666663</v>
      </c>
      <c r="J152" s="23">
        <v>0</v>
      </c>
      <c r="K152" s="23">
        <v>0</v>
      </c>
      <c r="L152" s="38">
        <f t="shared" si="20"/>
        <v>0</v>
      </c>
      <c r="M152" s="23">
        <v>2</v>
      </c>
      <c r="N152" s="23">
        <v>4</v>
      </c>
      <c r="O152" s="23">
        <v>0</v>
      </c>
      <c r="P152" s="23">
        <v>2</v>
      </c>
      <c r="Q152" s="23">
        <v>0</v>
      </c>
      <c r="R152" s="25">
        <v>8</v>
      </c>
    </row>
    <row r="153" spans="1:18" x14ac:dyDescent="0.25">
      <c r="A153" s="77">
        <v>42220</v>
      </c>
      <c r="B153" s="43"/>
      <c r="C153" s="88" t="s">
        <v>98</v>
      </c>
      <c r="D153" s="23">
        <v>5</v>
      </c>
      <c r="E153" s="23">
        <v>17</v>
      </c>
      <c r="F153" s="38">
        <f t="shared" si="18"/>
        <v>0.29411764705882354</v>
      </c>
      <c r="G153" s="23">
        <v>2</v>
      </c>
      <c r="H153" s="23">
        <v>9</v>
      </c>
      <c r="I153" s="38">
        <f t="shared" si="19"/>
        <v>0.22222222222222221</v>
      </c>
      <c r="J153" s="23">
        <v>5</v>
      </c>
      <c r="K153" s="23">
        <v>6</v>
      </c>
      <c r="L153" s="38">
        <f t="shared" si="20"/>
        <v>0.83333333333333337</v>
      </c>
      <c r="M153" s="23">
        <v>1</v>
      </c>
      <c r="N153" s="23">
        <v>3</v>
      </c>
      <c r="O153" s="23">
        <v>1</v>
      </c>
      <c r="P153" s="23">
        <v>1</v>
      </c>
      <c r="Q153" s="23">
        <v>0</v>
      </c>
      <c r="R153" s="25">
        <v>17</v>
      </c>
    </row>
    <row r="154" spans="1:18" x14ac:dyDescent="0.25">
      <c r="A154" s="77">
        <v>42220</v>
      </c>
      <c r="B154" s="43"/>
      <c r="C154" s="88" t="s">
        <v>124</v>
      </c>
      <c r="D154" s="23">
        <v>4</v>
      </c>
      <c r="E154" s="23">
        <v>6</v>
      </c>
      <c r="F154" s="38">
        <f t="shared" si="18"/>
        <v>0.66666666666666663</v>
      </c>
      <c r="G154" s="23">
        <v>0</v>
      </c>
      <c r="H154" s="23">
        <v>2</v>
      </c>
      <c r="I154" s="38">
        <f t="shared" si="19"/>
        <v>0</v>
      </c>
      <c r="J154" s="23">
        <v>1</v>
      </c>
      <c r="K154" s="23">
        <v>2</v>
      </c>
      <c r="L154" s="38">
        <f t="shared" si="20"/>
        <v>0.5</v>
      </c>
      <c r="M154" s="23">
        <v>1</v>
      </c>
      <c r="N154" s="23">
        <v>2</v>
      </c>
      <c r="O154" s="23">
        <v>0</v>
      </c>
      <c r="P154" s="23">
        <v>2</v>
      </c>
      <c r="Q154" s="23">
        <v>0</v>
      </c>
      <c r="R154" s="25">
        <v>9</v>
      </c>
    </row>
    <row r="155" spans="1:18" x14ac:dyDescent="0.25">
      <c r="A155" s="77">
        <v>42221</v>
      </c>
      <c r="B155" s="43"/>
      <c r="C155" s="88" t="s">
        <v>32</v>
      </c>
      <c r="D155" s="23">
        <v>0</v>
      </c>
      <c r="E155" s="23">
        <v>4</v>
      </c>
      <c r="F155" s="38">
        <f t="shared" si="18"/>
        <v>0</v>
      </c>
      <c r="G155" s="23">
        <v>0</v>
      </c>
      <c r="H155" s="23">
        <v>0</v>
      </c>
      <c r="I155" s="38">
        <f t="shared" si="19"/>
        <v>0</v>
      </c>
      <c r="J155" s="23">
        <v>0</v>
      </c>
      <c r="K155" s="23">
        <v>0</v>
      </c>
      <c r="L155" s="38">
        <f t="shared" si="20"/>
        <v>0</v>
      </c>
      <c r="M155" s="23">
        <v>8</v>
      </c>
      <c r="N155" s="23">
        <v>0</v>
      </c>
      <c r="O155" s="23">
        <v>1</v>
      </c>
      <c r="P155" s="23">
        <v>0</v>
      </c>
      <c r="Q155" s="23">
        <v>1</v>
      </c>
      <c r="R155" s="25">
        <v>0</v>
      </c>
    </row>
    <row r="156" spans="1:18" x14ac:dyDescent="0.25">
      <c r="A156" s="73">
        <v>42221</v>
      </c>
      <c r="B156" s="20"/>
      <c r="C156" s="90" t="s">
        <v>146</v>
      </c>
      <c r="D156" s="16">
        <v>0</v>
      </c>
      <c r="E156" s="16">
        <v>3</v>
      </c>
      <c r="F156" s="76">
        <f t="shared" si="18"/>
        <v>0</v>
      </c>
      <c r="G156" s="16">
        <v>0</v>
      </c>
      <c r="H156" s="16">
        <v>0</v>
      </c>
      <c r="I156" s="76">
        <f t="shared" si="19"/>
        <v>0</v>
      </c>
      <c r="J156" s="16">
        <v>2</v>
      </c>
      <c r="K156" s="16">
        <v>2</v>
      </c>
      <c r="L156" s="76">
        <f t="shared" si="20"/>
        <v>1</v>
      </c>
      <c r="M156" s="16">
        <v>8</v>
      </c>
      <c r="N156" s="16">
        <v>1</v>
      </c>
      <c r="O156" s="16">
        <v>1</v>
      </c>
      <c r="P156" s="16">
        <v>2</v>
      </c>
      <c r="Q156" s="16">
        <v>3</v>
      </c>
      <c r="R156" s="16">
        <v>2</v>
      </c>
    </row>
    <row r="157" spans="1:18" x14ac:dyDescent="0.25">
      <c r="A157" s="73">
        <v>42222</v>
      </c>
      <c r="B157" s="20"/>
      <c r="C157" s="90" t="s">
        <v>98</v>
      </c>
      <c r="D157" s="16">
        <v>0</v>
      </c>
      <c r="E157" s="16">
        <v>6</v>
      </c>
      <c r="F157" s="76">
        <f t="shared" si="18"/>
        <v>0</v>
      </c>
      <c r="G157" s="16">
        <v>0</v>
      </c>
      <c r="H157" s="16">
        <v>0</v>
      </c>
      <c r="I157" s="76">
        <f t="shared" si="19"/>
        <v>0</v>
      </c>
      <c r="J157" s="16">
        <v>5</v>
      </c>
      <c r="K157" s="16">
        <v>5</v>
      </c>
      <c r="L157" s="76">
        <f t="shared" si="20"/>
        <v>1</v>
      </c>
      <c r="M157" s="16">
        <v>0</v>
      </c>
      <c r="N157" s="16">
        <v>4</v>
      </c>
      <c r="O157" s="16">
        <v>1</v>
      </c>
      <c r="P157" s="16">
        <v>2</v>
      </c>
      <c r="Q157" s="16">
        <v>0</v>
      </c>
      <c r="R157" s="16">
        <v>5</v>
      </c>
    </row>
    <row r="158" spans="1:18" x14ac:dyDescent="0.25">
      <c r="A158" s="73">
        <v>42222</v>
      </c>
      <c r="B158" s="20"/>
      <c r="C158" s="90" t="s">
        <v>124</v>
      </c>
      <c r="D158" s="16">
        <v>4</v>
      </c>
      <c r="E158" s="16">
        <v>7</v>
      </c>
      <c r="F158" s="76">
        <f t="shared" si="18"/>
        <v>0.5714285714285714</v>
      </c>
      <c r="G158" s="16">
        <v>1</v>
      </c>
      <c r="H158" s="16">
        <v>2</v>
      </c>
      <c r="I158" s="76">
        <f t="shared" si="19"/>
        <v>0.5</v>
      </c>
      <c r="J158" s="16">
        <v>1</v>
      </c>
      <c r="K158" s="16">
        <v>1</v>
      </c>
      <c r="L158" s="76">
        <f t="shared" si="20"/>
        <v>1</v>
      </c>
      <c r="M158" s="16">
        <v>3</v>
      </c>
      <c r="N158" s="16">
        <v>3</v>
      </c>
      <c r="O158" s="16">
        <v>1</v>
      </c>
      <c r="P158" s="16">
        <v>1</v>
      </c>
      <c r="Q158" s="16">
        <v>0</v>
      </c>
      <c r="R158" s="16">
        <v>10</v>
      </c>
    </row>
    <row r="159" spans="1:18" x14ac:dyDescent="0.25">
      <c r="A159" s="73">
        <v>42223</v>
      </c>
      <c r="B159" s="20"/>
      <c r="C159" s="90" t="s">
        <v>146</v>
      </c>
      <c r="D159" s="16">
        <v>3</v>
      </c>
      <c r="E159" s="16">
        <v>9</v>
      </c>
      <c r="F159" s="76">
        <f t="shared" si="18"/>
        <v>0.33333333333333331</v>
      </c>
      <c r="G159" s="16">
        <v>0</v>
      </c>
      <c r="H159" s="16">
        <v>0</v>
      </c>
      <c r="I159" s="76">
        <f t="shared" si="19"/>
        <v>0</v>
      </c>
      <c r="J159" s="16">
        <v>1</v>
      </c>
      <c r="K159" s="16">
        <v>2</v>
      </c>
      <c r="L159" s="76">
        <f t="shared" si="20"/>
        <v>0.5</v>
      </c>
      <c r="M159" s="16">
        <v>8</v>
      </c>
      <c r="N159" s="16">
        <v>1</v>
      </c>
      <c r="O159" s="16">
        <v>1</v>
      </c>
      <c r="P159" s="16">
        <v>0</v>
      </c>
      <c r="Q159" s="16">
        <v>3</v>
      </c>
      <c r="R159" s="16">
        <v>7</v>
      </c>
    </row>
    <row r="160" spans="1:18" x14ac:dyDescent="0.25">
      <c r="A160" s="73">
        <v>42223</v>
      </c>
      <c r="B160" s="20"/>
      <c r="C160" s="90" t="s">
        <v>29</v>
      </c>
      <c r="D160" s="16">
        <v>7</v>
      </c>
      <c r="E160" s="16">
        <v>16</v>
      </c>
      <c r="F160" s="76">
        <f t="shared" si="18"/>
        <v>0.4375</v>
      </c>
      <c r="G160" s="16">
        <v>3</v>
      </c>
      <c r="H160" s="16">
        <v>7</v>
      </c>
      <c r="I160" s="76">
        <f t="shared" si="19"/>
        <v>0.42857142857142855</v>
      </c>
      <c r="J160" s="16">
        <v>0</v>
      </c>
      <c r="K160" s="16">
        <v>0</v>
      </c>
      <c r="L160" s="76">
        <f t="shared" si="20"/>
        <v>0</v>
      </c>
      <c r="M160" s="16">
        <v>6</v>
      </c>
      <c r="N160" s="16">
        <v>2</v>
      </c>
      <c r="O160" s="16">
        <v>1</v>
      </c>
      <c r="P160" s="16">
        <v>1</v>
      </c>
      <c r="Q160" s="16">
        <v>2</v>
      </c>
      <c r="R160" s="16">
        <v>17</v>
      </c>
    </row>
    <row r="161" spans="1:18" x14ac:dyDescent="0.25">
      <c r="A161" s="73">
        <v>42223</v>
      </c>
      <c r="B161" s="20"/>
      <c r="C161" s="90" t="s">
        <v>34</v>
      </c>
      <c r="D161" s="16">
        <v>2</v>
      </c>
      <c r="E161" s="16">
        <v>10</v>
      </c>
      <c r="F161" s="76">
        <f t="shared" si="18"/>
        <v>0.2</v>
      </c>
      <c r="G161" s="16">
        <v>1</v>
      </c>
      <c r="H161" s="16">
        <v>6</v>
      </c>
      <c r="I161" s="76">
        <f t="shared" si="19"/>
        <v>0.16666666666666666</v>
      </c>
      <c r="J161" s="16">
        <v>0</v>
      </c>
      <c r="K161" s="16">
        <v>0</v>
      </c>
      <c r="L161" s="76">
        <f t="shared" si="20"/>
        <v>0</v>
      </c>
      <c r="M161" s="16">
        <v>4</v>
      </c>
      <c r="N161" s="16">
        <v>3</v>
      </c>
      <c r="O161" s="16">
        <v>2</v>
      </c>
      <c r="P161" s="16">
        <v>0</v>
      </c>
      <c r="Q161" s="16">
        <v>0</v>
      </c>
      <c r="R161" s="16">
        <v>5</v>
      </c>
    </row>
    <row r="162" spans="1:18" x14ac:dyDescent="0.25">
      <c r="A162" s="73">
        <v>42223</v>
      </c>
      <c r="B162" s="20"/>
      <c r="C162" s="90" t="s">
        <v>100</v>
      </c>
      <c r="D162" s="16">
        <v>0</v>
      </c>
      <c r="E162" s="16">
        <v>3</v>
      </c>
      <c r="F162" s="76">
        <f t="shared" si="18"/>
        <v>0</v>
      </c>
      <c r="G162" s="16">
        <v>0</v>
      </c>
      <c r="H162" s="16">
        <v>0</v>
      </c>
      <c r="I162" s="76">
        <f t="shared" si="19"/>
        <v>0</v>
      </c>
      <c r="J162" s="16">
        <v>3</v>
      </c>
      <c r="K162" s="16">
        <v>4</v>
      </c>
      <c r="L162" s="76">
        <f t="shared" si="20"/>
        <v>0.75</v>
      </c>
      <c r="M162" s="16">
        <v>5</v>
      </c>
      <c r="N162" s="16">
        <v>0</v>
      </c>
      <c r="O162" s="16">
        <v>0</v>
      </c>
      <c r="P162" s="16">
        <v>3</v>
      </c>
      <c r="Q162" s="16">
        <v>0</v>
      </c>
      <c r="R162" s="16">
        <v>3</v>
      </c>
    </row>
    <row r="163" spans="1:18" x14ac:dyDescent="0.25">
      <c r="A163" s="73">
        <v>42224</v>
      </c>
      <c r="B163" s="20"/>
      <c r="C163" s="90" t="s">
        <v>32</v>
      </c>
      <c r="D163" s="16">
        <v>1</v>
      </c>
      <c r="E163" s="16">
        <v>2</v>
      </c>
      <c r="F163" s="76">
        <f t="shared" si="18"/>
        <v>0.5</v>
      </c>
      <c r="G163" s="16">
        <v>0</v>
      </c>
      <c r="H163" s="16">
        <v>0</v>
      </c>
      <c r="I163" s="76">
        <f t="shared" si="19"/>
        <v>0</v>
      </c>
      <c r="J163" s="16">
        <v>0</v>
      </c>
      <c r="K163" s="16">
        <v>2</v>
      </c>
      <c r="L163" s="76">
        <f t="shared" si="20"/>
        <v>0</v>
      </c>
      <c r="M163" s="16">
        <v>8</v>
      </c>
      <c r="N163" s="16">
        <v>1</v>
      </c>
      <c r="O163" s="16">
        <v>0</v>
      </c>
      <c r="P163" s="16">
        <v>3</v>
      </c>
      <c r="Q163" s="16">
        <v>0</v>
      </c>
      <c r="R163" s="16">
        <v>2</v>
      </c>
    </row>
    <row r="164" spans="1:18" x14ac:dyDescent="0.25">
      <c r="A164" s="71">
        <v>42225</v>
      </c>
      <c r="B164" s="20"/>
      <c r="C164" s="90" t="s">
        <v>34</v>
      </c>
      <c r="D164" s="16">
        <v>0</v>
      </c>
      <c r="E164" s="16">
        <v>3</v>
      </c>
      <c r="F164" s="76">
        <f t="shared" si="18"/>
        <v>0</v>
      </c>
      <c r="G164" s="16">
        <v>0</v>
      </c>
      <c r="H164" s="16">
        <v>2</v>
      </c>
      <c r="I164" s="76">
        <f t="shared" si="19"/>
        <v>0</v>
      </c>
      <c r="J164" s="16">
        <v>0</v>
      </c>
      <c r="K164" s="16">
        <v>0</v>
      </c>
      <c r="L164" s="76">
        <f t="shared" si="20"/>
        <v>0</v>
      </c>
      <c r="M164" s="16">
        <v>0</v>
      </c>
      <c r="N164" s="16">
        <v>3</v>
      </c>
      <c r="O164" s="16">
        <v>0</v>
      </c>
      <c r="P164" s="16">
        <v>1</v>
      </c>
      <c r="Q164" s="16">
        <v>0</v>
      </c>
      <c r="R164" s="16">
        <v>0</v>
      </c>
    </row>
    <row r="165" spans="1:18" x14ac:dyDescent="0.25">
      <c r="A165" s="71">
        <v>42225</v>
      </c>
      <c r="B165" s="20"/>
      <c r="C165" s="90" t="s">
        <v>146</v>
      </c>
      <c r="D165" s="16">
        <v>0</v>
      </c>
      <c r="E165" s="16">
        <v>2</v>
      </c>
      <c r="F165" s="76">
        <f t="shared" si="18"/>
        <v>0</v>
      </c>
      <c r="G165" s="16">
        <v>0</v>
      </c>
      <c r="H165" s="16">
        <v>0</v>
      </c>
      <c r="I165" s="76">
        <f t="shared" si="19"/>
        <v>0</v>
      </c>
      <c r="J165" s="16">
        <v>2</v>
      </c>
      <c r="K165" s="16">
        <v>2</v>
      </c>
      <c r="L165" s="76">
        <f t="shared" si="20"/>
        <v>1</v>
      </c>
      <c r="M165" s="16">
        <v>4</v>
      </c>
      <c r="N165" s="16">
        <v>2</v>
      </c>
      <c r="O165" s="16">
        <v>1</v>
      </c>
      <c r="P165" s="16">
        <v>1</v>
      </c>
      <c r="Q165" s="16">
        <v>1</v>
      </c>
      <c r="R165" s="16">
        <v>2</v>
      </c>
    </row>
    <row r="166" spans="1:18" x14ac:dyDescent="0.25">
      <c r="A166" s="71">
        <v>42225</v>
      </c>
      <c r="B166" s="20"/>
      <c r="C166" s="90" t="s">
        <v>98</v>
      </c>
      <c r="D166" s="16">
        <v>8</v>
      </c>
      <c r="E166" s="16">
        <v>18</v>
      </c>
      <c r="F166" s="76">
        <f t="shared" si="18"/>
        <v>0.44444444444444442</v>
      </c>
      <c r="G166" s="16">
        <v>6</v>
      </c>
      <c r="H166" s="16">
        <v>12</v>
      </c>
      <c r="I166" s="76">
        <f t="shared" si="19"/>
        <v>0.5</v>
      </c>
      <c r="J166" s="16">
        <v>13</v>
      </c>
      <c r="K166" s="16">
        <v>15</v>
      </c>
      <c r="L166" s="76">
        <f t="shared" si="20"/>
        <v>0.8666666666666667</v>
      </c>
      <c r="M166" s="16">
        <v>5</v>
      </c>
      <c r="N166" s="16">
        <v>2</v>
      </c>
      <c r="O166" s="16">
        <v>0</v>
      </c>
      <c r="P166" s="16">
        <v>3</v>
      </c>
      <c r="Q166" s="16">
        <v>0</v>
      </c>
      <c r="R166" s="16">
        <v>35</v>
      </c>
    </row>
    <row r="167" spans="1:18" x14ac:dyDescent="0.25">
      <c r="A167" s="71">
        <v>42225</v>
      </c>
      <c r="B167" s="20"/>
      <c r="C167" s="90" t="s">
        <v>124</v>
      </c>
      <c r="D167" s="16">
        <v>5</v>
      </c>
      <c r="E167" s="16">
        <v>12</v>
      </c>
      <c r="F167" s="76">
        <f t="shared" si="18"/>
        <v>0.41666666666666669</v>
      </c>
      <c r="G167" s="16">
        <v>4</v>
      </c>
      <c r="H167" s="16">
        <v>8</v>
      </c>
      <c r="I167" s="76">
        <f t="shared" si="19"/>
        <v>0.5</v>
      </c>
      <c r="J167" s="16">
        <v>0</v>
      </c>
      <c r="K167" s="16">
        <v>0</v>
      </c>
      <c r="L167" s="76">
        <f t="shared" si="20"/>
        <v>0</v>
      </c>
      <c r="M167" s="16">
        <v>3</v>
      </c>
      <c r="N167" s="16">
        <v>6</v>
      </c>
      <c r="O167" s="16">
        <v>0</v>
      </c>
      <c r="P167" s="16">
        <v>3</v>
      </c>
      <c r="Q167" s="16">
        <v>0</v>
      </c>
      <c r="R167" s="16">
        <v>14</v>
      </c>
    </row>
    <row r="168" spans="1:18" x14ac:dyDescent="0.25">
      <c r="A168" s="71">
        <v>42225</v>
      </c>
      <c r="B168" s="20"/>
      <c r="C168" s="90" t="s">
        <v>29</v>
      </c>
      <c r="D168" s="16">
        <v>7</v>
      </c>
      <c r="E168" s="16">
        <v>14</v>
      </c>
      <c r="F168" s="76">
        <f t="shared" si="18"/>
        <v>0.5</v>
      </c>
      <c r="G168" s="16">
        <v>1</v>
      </c>
      <c r="H168" s="16">
        <v>4</v>
      </c>
      <c r="I168" s="76">
        <f t="shared" si="19"/>
        <v>0.25</v>
      </c>
      <c r="J168" s="16">
        <v>5</v>
      </c>
      <c r="K168" s="16">
        <v>5</v>
      </c>
      <c r="L168" s="76">
        <f t="shared" si="20"/>
        <v>1</v>
      </c>
      <c r="M168" s="16">
        <v>5</v>
      </c>
      <c r="N168" s="16">
        <v>2</v>
      </c>
      <c r="O168" s="16">
        <v>2</v>
      </c>
      <c r="P168" s="16">
        <v>1</v>
      </c>
      <c r="Q168" s="16">
        <v>0</v>
      </c>
      <c r="R168" s="16">
        <v>20</v>
      </c>
    </row>
    <row r="169" spans="1:18" x14ac:dyDescent="0.25">
      <c r="A169" s="79">
        <v>42227</v>
      </c>
      <c r="B169" s="60"/>
      <c r="C169" s="91" t="s">
        <v>100</v>
      </c>
      <c r="D169" s="57">
        <v>2</v>
      </c>
      <c r="E169" s="57">
        <v>5</v>
      </c>
      <c r="F169" s="78">
        <f t="shared" ref="F169:F180" si="21">IF(E169=0,0,D169/E169)</f>
        <v>0.4</v>
      </c>
      <c r="G169" s="57">
        <v>0</v>
      </c>
      <c r="H169" s="57">
        <v>0</v>
      </c>
      <c r="I169" s="78">
        <f t="shared" ref="I169:I180" si="22">IF(H169=0,0,G169/H169)</f>
        <v>0</v>
      </c>
      <c r="J169" s="57">
        <v>0</v>
      </c>
      <c r="K169" s="57">
        <v>0</v>
      </c>
      <c r="L169" s="78">
        <f t="shared" ref="L169:L180" si="23">IF(K169=0,0,J169/K169)</f>
        <v>0</v>
      </c>
      <c r="M169" s="57">
        <v>2</v>
      </c>
      <c r="N169" s="57">
        <v>2</v>
      </c>
      <c r="O169" s="57">
        <v>0</v>
      </c>
      <c r="P169" s="57">
        <v>0</v>
      </c>
      <c r="Q169" s="57">
        <v>0</v>
      </c>
      <c r="R169" s="57">
        <v>4</v>
      </c>
    </row>
    <row r="170" spans="1:18" x14ac:dyDescent="0.25">
      <c r="A170" s="79">
        <v>42227</v>
      </c>
      <c r="B170" s="60"/>
      <c r="C170" s="91" t="s">
        <v>146</v>
      </c>
      <c r="D170" s="57">
        <v>2</v>
      </c>
      <c r="E170" s="57">
        <v>4</v>
      </c>
      <c r="F170" s="78">
        <f t="shared" si="21"/>
        <v>0.5</v>
      </c>
      <c r="G170" s="57">
        <v>0</v>
      </c>
      <c r="H170" s="57">
        <v>0</v>
      </c>
      <c r="I170" s="78">
        <f t="shared" si="22"/>
        <v>0</v>
      </c>
      <c r="J170" s="57">
        <v>1</v>
      </c>
      <c r="K170" s="57">
        <v>2</v>
      </c>
      <c r="L170" s="78">
        <f t="shared" si="23"/>
        <v>0.5</v>
      </c>
      <c r="M170" s="57">
        <v>3</v>
      </c>
      <c r="N170" s="57">
        <v>1</v>
      </c>
      <c r="O170" s="57">
        <v>0</v>
      </c>
      <c r="P170" s="57">
        <v>2</v>
      </c>
      <c r="Q170" s="57">
        <v>4</v>
      </c>
      <c r="R170" s="57">
        <v>5</v>
      </c>
    </row>
    <row r="171" spans="1:18" x14ac:dyDescent="0.25">
      <c r="A171" s="79">
        <v>42227</v>
      </c>
      <c r="B171" s="60"/>
      <c r="C171" s="91" t="s">
        <v>106</v>
      </c>
      <c r="D171" s="57">
        <v>2</v>
      </c>
      <c r="E171" s="57">
        <v>2</v>
      </c>
      <c r="F171" s="78">
        <f t="shared" si="21"/>
        <v>1</v>
      </c>
      <c r="G171" s="57">
        <v>1</v>
      </c>
      <c r="H171" s="57">
        <v>1</v>
      </c>
      <c r="I171" s="78">
        <f t="shared" si="22"/>
        <v>1</v>
      </c>
      <c r="J171" s="57">
        <v>0</v>
      </c>
      <c r="K171" s="57">
        <v>0</v>
      </c>
      <c r="L171" s="78">
        <f t="shared" si="23"/>
        <v>0</v>
      </c>
      <c r="M171" s="57">
        <v>1</v>
      </c>
      <c r="N171" s="57">
        <v>1</v>
      </c>
      <c r="O171" s="57">
        <v>1</v>
      </c>
      <c r="P171" s="57">
        <v>0</v>
      </c>
      <c r="Q171" s="57">
        <v>0</v>
      </c>
      <c r="R171" s="57">
        <v>5</v>
      </c>
    </row>
    <row r="172" spans="1:18" x14ac:dyDescent="0.25">
      <c r="A172" s="79">
        <v>42227</v>
      </c>
      <c r="B172" s="60"/>
      <c r="C172" s="91" t="s">
        <v>32</v>
      </c>
      <c r="D172" s="57">
        <v>1</v>
      </c>
      <c r="E172" s="57">
        <v>1</v>
      </c>
      <c r="F172" s="78">
        <f t="shared" si="21"/>
        <v>1</v>
      </c>
      <c r="G172" s="57">
        <v>0</v>
      </c>
      <c r="H172" s="57">
        <v>0</v>
      </c>
      <c r="I172" s="78">
        <f t="shared" si="22"/>
        <v>0</v>
      </c>
      <c r="J172" s="57">
        <v>0</v>
      </c>
      <c r="K172" s="57">
        <v>0</v>
      </c>
      <c r="L172" s="78">
        <f t="shared" si="23"/>
        <v>0</v>
      </c>
      <c r="M172" s="57">
        <v>10</v>
      </c>
      <c r="N172" s="57">
        <v>1</v>
      </c>
      <c r="O172" s="57">
        <v>2</v>
      </c>
      <c r="P172" s="57">
        <v>1</v>
      </c>
      <c r="Q172" s="57">
        <v>2</v>
      </c>
      <c r="R172" s="57">
        <v>2</v>
      </c>
    </row>
    <row r="173" spans="1:18" x14ac:dyDescent="0.25">
      <c r="A173" s="79">
        <v>42227</v>
      </c>
      <c r="B173" s="60"/>
      <c r="C173" s="91" t="s">
        <v>124</v>
      </c>
      <c r="D173" s="57">
        <v>2</v>
      </c>
      <c r="E173" s="57">
        <v>7</v>
      </c>
      <c r="F173" s="78">
        <f t="shared" si="21"/>
        <v>0.2857142857142857</v>
      </c>
      <c r="G173" s="57">
        <v>2</v>
      </c>
      <c r="H173" s="57">
        <v>5</v>
      </c>
      <c r="I173" s="78">
        <f t="shared" si="22"/>
        <v>0.4</v>
      </c>
      <c r="J173" s="57">
        <v>2</v>
      </c>
      <c r="K173" s="57">
        <v>3</v>
      </c>
      <c r="L173" s="78">
        <f t="shared" si="23"/>
        <v>0.66666666666666663</v>
      </c>
      <c r="M173" s="57">
        <v>2</v>
      </c>
      <c r="N173" s="57">
        <v>6</v>
      </c>
      <c r="O173" s="57">
        <v>0</v>
      </c>
      <c r="P173" s="57">
        <v>1</v>
      </c>
      <c r="Q173" s="57">
        <v>0</v>
      </c>
      <c r="R173" s="57">
        <v>8</v>
      </c>
    </row>
    <row r="174" spans="1:18" x14ac:dyDescent="0.25">
      <c r="A174" s="79">
        <v>42227</v>
      </c>
      <c r="B174" s="60"/>
      <c r="C174" s="91" t="s">
        <v>29</v>
      </c>
      <c r="D174" s="57">
        <v>11</v>
      </c>
      <c r="E174" s="57">
        <v>23</v>
      </c>
      <c r="F174" s="78">
        <f t="shared" si="21"/>
        <v>0.47826086956521741</v>
      </c>
      <c r="G174" s="57">
        <v>0</v>
      </c>
      <c r="H174" s="57">
        <v>4</v>
      </c>
      <c r="I174" s="78">
        <f t="shared" si="22"/>
        <v>0</v>
      </c>
      <c r="J174" s="57">
        <v>10</v>
      </c>
      <c r="K174" s="57">
        <v>10</v>
      </c>
      <c r="L174" s="78">
        <f t="shared" si="23"/>
        <v>1</v>
      </c>
      <c r="M174" s="57">
        <v>9</v>
      </c>
      <c r="N174" s="57">
        <v>4</v>
      </c>
      <c r="O174" s="57">
        <v>3</v>
      </c>
      <c r="P174" s="57">
        <v>4</v>
      </c>
      <c r="Q174" s="57">
        <v>0</v>
      </c>
      <c r="R174" s="57">
        <v>32</v>
      </c>
    </row>
    <row r="175" spans="1:18" x14ac:dyDescent="0.25">
      <c r="A175" s="79">
        <v>42228</v>
      </c>
      <c r="B175" s="60"/>
      <c r="C175" s="91" t="s">
        <v>106</v>
      </c>
      <c r="D175" s="57">
        <v>1</v>
      </c>
      <c r="E175" s="57">
        <v>5</v>
      </c>
      <c r="F175" s="78">
        <f t="shared" si="21"/>
        <v>0.2</v>
      </c>
      <c r="G175" s="57">
        <v>1</v>
      </c>
      <c r="H175" s="57">
        <v>3</v>
      </c>
      <c r="I175" s="78">
        <f t="shared" si="22"/>
        <v>0.33333333333333331</v>
      </c>
      <c r="J175" s="57">
        <v>0</v>
      </c>
      <c r="K175" s="57">
        <v>0</v>
      </c>
      <c r="L175" s="78">
        <f t="shared" si="23"/>
        <v>0</v>
      </c>
      <c r="M175" s="57">
        <v>3</v>
      </c>
      <c r="N175" s="57">
        <v>3</v>
      </c>
      <c r="O175" s="57">
        <v>0</v>
      </c>
      <c r="P175" s="57">
        <v>0</v>
      </c>
      <c r="Q175" s="57">
        <v>0</v>
      </c>
      <c r="R175" s="57">
        <v>3</v>
      </c>
    </row>
    <row r="176" spans="1:18" x14ac:dyDescent="0.25">
      <c r="A176" s="79">
        <v>42228</v>
      </c>
      <c r="B176" s="60"/>
      <c r="C176" s="91" t="s">
        <v>34</v>
      </c>
      <c r="D176" s="57">
        <v>1</v>
      </c>
      <c r="E176" s="57">
        <v>3</v>
      </c>
      <c r="F176" s="78">
        <f t="shared" si="21"/>
        <v>0.33333333333333331</v>
      </c>
      <c r="G176" s="57">
        <v>0</v>
      </c>
      <c r="H176" s="57">
        <v>2</v>
      </c>
      <c r="I176" s="78">
        <f t="shared" si="22"/>
        <v>0</v>
      </c>
      <c r="J176" s="57">
        <v>0</v>
      </c>
      <c r="K176" s="57">
        <v>0</v>
      </c>
      <c r="L176" s="78">
        <f t="shared" si="23"/>
        <v>0</v>
      </c>
      <c r="M176" s="57">
        <v>3</v>
      </c>
      <c r="N176" s="57">
        <v>2</v>
      </c>
      <c r="O176" s="57">
        <v>0</v>
      </c>
      <c r="P176" s="57">
        <v>1</v>
      </c>
      <c r="Q176" s="57">
        <v>0</v>
      </c>
      <c r="R176" s="57">
        <v>2</v>
      </c>
    </row>
    <row r="177" spans="1:18" x14ac:dyDescent="0.25">
      <c r="A177" s="79">
        <v>42228</v>
      </c>
      <c r="B177" s="60"/>
      <c r="C177" s="91" t="s">
        <v>98</v>
      </c>
      <c r="D177" s="57">
        <v>3</v>
      </c>
      <c r="E177" s="57">
        <v>10</v>
      </c>
      <c r="F177" s="78">
        <f t="shared" si="21"/>
        <v>0.3</v>
      </c>
      <c r="G177" s="57">
        <v>1</v>
      </c>
      <c r="H177" s="57">
        <v>2</v>
      </c>
      <c r="I177" s="78">
        <f t="shared" si="22"/>
        <v>0.5</v>
      </c>
      <c r="J177" s="57">
        <v>7</v>
      </c>
      <c r="K177" s="57">
        <v>7</v>
      </c>
      <c r="L177" s="78">
        <f t="shared" si="23"/>
        <v>1</v>
      </c>
      <c r="M177" s="57">
        <v>5</v>
      </c>
      <c r="N177" s="57">
        <v>1</v>
      </c>
      <c r="O177" s="57">
        <v>3</v>
      </c>
      <c r="P177" s="57">
        <v>4</v>
      </c>
      <c r="Q177" s="57">
        <v>1</v>
      </c>
      <c r="R177" s="57">
        <v>14</v>
      </c>
    </row>
    <row r="178" spans="1:18" x14ac:dyDescent="0.25">
      <c r="A178" s="79">
        <v>42230</v>
      </c>
      <c r="B178" s="60"/>
      <c r="C178" s="91" t="s">
        <v>100</v>
      </c>
      <c r="D178" s="57">
        <v>0</v>
      </c>
      <c r="E178" s="57">
        <v>1</v>
      </c>
      <c r="F178" s="78">
        <f t="shared" si="21"/>
        <v>0</v>
      </c>
      <c r="G178" s="57">
        <v>0</v>
      </c>
      <c r="H178" s="57">
        <v>0</v>
      </c>
      <c r="I178" s="78">
        <f t="shared" si="22"/>
        <v>0</v>
      </c>
      <c r="J178" s="57">
        <v>0</v>
      </c>
      <c r="K178" s="57">
        <v>0</v>
      </c>
      <c r="L178" s="78">
        <f t="shared" si="23"/>
        <v>0</v>
      </c>
      <c r="M178" s="57">
        <v>1</v>
      </c>
      <c r="N178" s="57">
        <v>1</v>
      </c>
      <c r="O178" s="57">
        <v>0</v>
      </c>
      <c r="P178" s="57">
        <v>1</v>
      </c>
      <c r="Q178" s="57">
        <v>0</v>
      </c>
      <c r="R178" s="57">
        <v>0</v>
      </c>
    </row>
    <row r="179" spans="1:18" x14ac:dyDescent="0.25">
      <c r="A179" s="79">
        <v>42230</v>
      </c>
      <c r="B179" s="60"/>
      <c r="C179" s="91" t="s">
        <v>106</v>
      </c>
      <c r="D179" s="57">
        <v>5</v>
      </c>
      <c r="E179" s="57">
        <v>5</v>
      </c>
      <c r="F179" s="78">
        <f t="shared" si="21"/>
        <v>1</v>
      </c>
      <c r="G179" s="57">
        <v>3</v>
      </c>
      <c r="H179" s="57">
        <v>3</v>
      </c>
      <c r="I179" s="78">
        <f t="shared" si="22"/>
        <v>1</v>
      </c>
      <c r="J179" s="57">
        <v>0</v>
      </c>
      <c r="K179" s="57">
        <v>0</v>
      </c>
      <c r="L179" s="78">
        <f t="shared" si="23"/>
        <v>0</v>
      </c>
      <c r="M179" s="57">
        <v>0</v>
      </c>
      <c r="N179" s="57">
        <v>0</v>
      </c>
      <c r="O179" s="57">
        <v>1</v>
      </c>
      <c r="P179" s="57">
        <v>0</v>
      </c>
      <c r="Q179" s="57">
        <v>0</v>
      </c>
      <c r="R179" s="57">
        <v>13</v>
      </c>
    </row>
    <row r="180" spans="1:18" x14ac:dyDescent="0.25">
      <c r="A180" s="79">
        <v>42230</v>
      </c>
      <c r="B180" s="60"/>
      <c r="C180" s="91" t="s">
        <v>29</v>
      </c>
      <c r="D180" s="57">
        <v>10</v>
      </c>
      <c r="E180" s="57">
        <v>19</v>
      </c>
      <c r="F180" s="78">
        <f t="shared" si="21"/>
        <v>0.52631578947368418</v>
      </c>
      <c r="G180" s="57">
        <v>5</v>
      </c>
      <c r="H180" s="57">
        <v>10</v>
      </c>
      <c r="I180" s="78">
        <f t="shared" si="22"/>
        <v>0.5</v>
      </c>
      <c r="J180" s="57">
        <v>11</v>
      </c>
      <c r="K180" s="57">
        <v>13</v>
      </c>
      <c r="L180" s="78">
        <f t="shared" si="23"/>
        <v>0.84615384615384615</v>
      </c>
      <c r="M180" s="57">
        <v>4</v>
      </c>
      <c r="N180" s="57">
        <v>5</v>
      </c>
      <c r="O180" s="57">
        <v>2</v>
      </c>
      <c r="P180" s="57">
        <v>3</v>
      </c>
      <c r="Q180" s="57">
        <v>0</v>
      </c>
      <c r="R180" s="57">
        <v>36</v>
      </c>
    </row>
    <row r="181" spans="1:18" x14ac:dyDescent="0.25">
      <c r="A181" s="82">
        <v>42231</v>
      </c>
      <c r="B181" s="83"/>
      <c r="C181" s="93" t="s">
        <v>98</v>
      </c>
      <c r="D181" s="84">
        <v>4</v>
      </c>
      <c r="E181" s="84">
        <v>11</v>
      </c>
      <c r="F181" s="85">
        <f t="shared" ref="F181:F188" si="24">IF(E181=0,0,D181/E181)</f>
        <v>0.36363636363636365</v>
      </c>
      <c r="G181" s="84">
        <v>2</v>
      </c>
      <c r="H181" s="84">
        <v>6</v>
      </c>
      <c r="I181" s="85">
        <f t="shared" ref="I181:I188" si="25">IF(H181=0,0,G181/H181)</f>
        <v>0.33333333333333331</v>
      </c>
      <c r="J181" s="84">
        <v>5</v>
      </c>
      <c r="K181" s="84">
        <v>8</v>
      </c>
      <c r="L181" s="85">
        <f t="shared" ref="L181:L188" si="26">IF(K181=0,0,J181/K181)</f>
        <v>0.625</v>
      </c>
      <c r="M181" s="84">
        <v>6</v>
      </c>
      <c r="N181" s="84">
        <v>3</v>
      </c>
      <c r="O181" s="84">
        <v>2</v>
      </c>
      <c r="P181" s="84">
        <v>1</v>
      </c>
      <c r="Q181" s="84">
        <v>0</v>
      </c>
      <c r="R181" s="84">
        <v>15</v>
      </c>
    </row>
    <row r="182" spans="1:18" x14ac:dyDescent="0.25">
      <c r="A182" s="82">
        <v>42231</v>
      </c>
      <c r="B182" s="83"/>
      <c r="C182" s="93" t="s">
        <v>100</v>
      </c>
      <c r="D182" s="84">
        <v>1</v>
      </c>
      <c r="E182" s="84">
        <v>3</v>
      </c>
      <c r="F182" s="85">
        <f t="shared" si="24"/>
        <v>0.33333333333333331</v>
      </c>
      <c r="G182" s="84">
        <v>0</v>
      </c>
      <c r="H182" s="84">
        <v>0</v>
      </c>
      <c r="I182" s="85">
        <f t="shared" si="25"/>
        <v>0</v>
      </c>
      <c r="J182" s="84">
        <v>0</v>
      </c>
      <c r="K182" s="84">
        <v>0</v>
      </c>
      <c r="L182" s="85">
        <f t="shared" si="26"/>
        <v>0</v>
      </c>
      <c r="M182" s="84">
        <v>2</v>
      </c>
      <c r="N182" s="84">
        <v>0</v>
      </c>
      <c r="O182" s="84">
        <v>0</v>
      </c>
      <c r="P182" s="84">
        <v>2</v>
      </c>
      <c r="Q182" s="84">
        <v>0</v>
      </c>
      <c r="R182" s="84">
        <v>2</v>
      </c>
    </row>
    <row r="183" spans="1:18" x14ac:dyDescent="0.25">
      <c r="A183" s="82">
        <v>42232</v>
      </c>
      <c r="B183" s="83"/>
      <c r="C183" s="94" t="s">
        <v>29</v>
      </c>
      <c r="D183" s="84">
        <v>4</v>
      </c>
      <c r="E183" s="84">
        <v>15</v>
      </c>
      <c r="F183" s="85">
        <f t="shared" si="24"/>
        <v>0.26666666666666666</v>
      </c>
      <c r="G183" s="84">
        <v>1</v>
      </c>
      <c r="H183" s="84">
        <v>3</v>
      </c>
      <c r="I183" s="85">
        <f t="shared" si="25"/>
        <v>0.33333333333333331</v>
      </c>
      <c r="J183" s="84">
        <v>3</v>
      </c>
      <c r="K183" s="84">
        <v>4</v>
      </c>
      <c r="L183" s="85">
        <f t="shared" si="26"/>
        <v>0.75</v>
      </c>
      <c r="M183" s="84">
        <v>8</v>
      </c>
      <c r="N183" s="84">
        <v>4</v>
      </c>
      <c r="O183" s="84">
        <v>0</v>
      </c>
      <c r="P183" s="84">
        <v>3</v>
      </c>
      <c r="Q183" s="84">
        <v>1</v>
      </c>
      <c r="R183" s="84">
        <v>12</v>
      </c>
    </row>
    <row r="184" spans="1:18" x14ac:dyDescent="0.25">
      <c r="A184" s="82">
        <v>42232</v>
      </c>
      <c r="B184" s="83"/>
      <c r="C184" s="94" t="s">
        <v>146</v>
      </c>
      <c r="D184" s="84">
        <v>1</v>
      </c>
      <c r="E184" s="84">
        <v>4</v>
      </c>
      <c r="F184" s="85">
        <f t="shared" si="24"/>
        <v>0.25</v>
      </c>
      <c r="G184" s="84">
        <v>0</v>
      </c>
      <c r="H184" s="84">
        <v>0</v>
      </c>
      <c r="I184" s="85">
        <f t="shared" si="25"/>
        <v>0</v>
      </c>
      <c r="J184" s="84">
        <v>1</v>
      </c>
      <c r="K184" s="84">
        <v>2</v>
      </c>
      <c r="L184" s="85">
        <f t="shared" si="26"/>
        <v>0.5</v>
      </c>
      <c r="M184" s="84">
        <v>8</v>
      </c>
      <c r="N184" s="84">
        <v>1</v>
      </c>
      <c r="O184" s="84">
        <v>1</v>
      </c>
      <c r="P184" s="84">
        <v>1</v>
      </c>
      <c r="Q184" s="84">
        <v>5</v>
      </c>
      <c r="R184" s="84">
        <v>3</v>
      </c>
    </row>
    <row r="185" spans="1:18" x14ac:dyDescent="0.25">
      <c r="A185" s="82">
        <v>42232</v>
      </c>
      <c r="B185" s="83"/>
      <c r="C185" s="94" t="s">
        <v>124</v>
      </c>
      <c r="D185" s="84">
        <v>5</v>
      </c>
      <c r="E185" s="84">
        <v>9</v>
      </c>
      <c r="F185" s="85">
        <f t="shared" si="24"/>
        <v>0.55555555555555558</v>
      </c>
      <c r="G185" s="84">
        <v>1</v>
      </c>
      <c r="H185" s="84">
        <v>2</v>
      </c>
      <c r="I185" s="85">
        <f t="shared" si="25"/>
        <v>0.5</v>
      </c>
      <c r="J185" s="84">
        <v>5</v>
      </c>
      <c r="K185" s="84">
        <v>6</v>
      </c>
      <c r="L185" s="85">
        <f t="shared" si="26"/>
        <v>0.83333333333333337</v>
      </c>
      <c r="M185" s="84">
        <v>3</v>
      </c>
      <c r="N185" s="84">
        <v>3</v>
      </c>
      <c r="O185" s="84">
        <v>0</v>
      </c>
      <c r="P185" s="84">
        <v>4</v>
      </c>
      <c r="Q185" s="84">
        <v>0</v>
      </c>
      <c r="R185" s="84">
        <v>16</v>
      </c>
    </row>
    <row r="186" spans="1:18" x14ac:dyDescent="0.25">
      <c r="A186" s="82">
        <v>42232</v>
      </c>
      <c r="B186" s="83"/>
      <c r="C186" s="95" t="s">
        <v>34</v>
      </c>
      <c r="D186" s="84">
        <v>0</v>
      </c>
      <c r="E186" s="84">
        <v>3</v>
      </c>
      <c r="F186" s="85">
        <f t="shared" si="24"/>
        <v>0</v>
      </c>
      <c r="G186" s="84">
        <v>0</v>
      </c>
      <c r="H186" s="84">
        <v>3</v>
      </c>
      <c r="I186" s="85">
        <f t="shared" si="25"/>
        <v>0</v>
      </c>
      <c r="J186" s="84">
        <v>2</v>
      </c>
      <c r="K186" s="84">
        <v>2</v>
      </c>
      <c r="L186" s="85">
        <f t="shared" si="26"/>
        <v>1</v>
      </c>
      <c r="M186" s="84">
        <v>5</v>
      </c>
      <c r="N186" s="84">
        <v>2</v>
      </c>
      <c r="O186" s="84">
        <v>0</v>
      </c>
      <c r="P186" s="84">
        <v>3</v>
      </c>
      <c r="Q186" s="84">
        <v>0</v>
      </c>
      <c r="R186" s="84">
        <v>2</v>
      </c>
    </row>
    <row r="187" spans="1:18" x14ac:dyDescent="0.25">
      <c r="A187" s="82">
        <v>42232</v>
      </c>
      <c r="B187" s="83"/>
      <c r="C187" s="95" t="s">
        <v>32</v>
      </c>
      <c r="D187" s="84">
        <v>5</v>
      </c>
      <c r="E187" s="84">
        <v>9</v>
      </c>
      <c r="F187" s="85">
        <f t="shared" si="24"/>
        <v>0.55555555555555558</v>
      </c>
      <c r="G187" s="84">
        <v>0</v>
      </c>
      <c r="H187" s="84">
        <v>1</v>
      </c>
      <c r="I187" s="85">
        <f t="shared" si="25"/>
        <v>0</v>
      </c>
      <c r="J187" s="84">
        <v>2</v>
      </c>
      <c r="K187" s="84">
        <v>3</v>
      </c>
      <c r="L187" s="85">
        <f t="shared" si="26"/>
        <v>0.66666666666666663</v>
      </c>
      <c r="M187" s="84">
        <v>8</v>
      </c>
      <c r="N187" s="84">
        <v>2</v>
      </c>
      <c r="O187" s="84">
        <v>1</v>
      </c>
      <c r="P187" s="84">
        <v>1</v>
      </c>
      <c r="Q187" s="84">
        <v>1</v>
      </c>
      <c r="R187" s="84">
        <v>12</v>
      </c>
    </row>
    <row r="188" spans="1:18" x14ac:dyDescent="0.25">
      <c r="A188" s="82">
        <v>42232</v>
      </c>
      <c r="B188" s="83"/>
      <c r="C188" s="95" t="s">
        <v>106</v>
      </c>
      <c r="D188" s="84">
        <v>4</v>
      </c>
      <c r="E188" s="84">
        <v>6</v>
      </c>
      <c r="F188" s="85">
        <f t="shared" si="24"/>
        <v>0.66666666666666663</v>
      </c>
      <c r="G188" s="84">
        <v>0</v>
      </c>
      <c r="H188" s="84">
        <v>0</v>
      </c>
      <c r="I188" s="85">
        <f t="shared" si="25"/>
        <v>0</v>
      </c>
      <c r="J188" s="84">
        <v>1</v>
      </c>
      <c r="K188" s="84">
        <v>2</v>
      </c>
      <c r="L188" s="85">
        <f t="shared" si="26"/>
        <v>0.5</v>
      </c>
      <c r="M188" s="84">
        <v>4</v>
      </c>
      <c r="N188" s="84">
        <v>0</v>
      </c>
      <c r="O188" s="84">
        <v>0</v>
      </c>
      <c r="P188" s="84">
        <v>1</v>
      </c>
      <c r="Q188" s="84">
        <v>0</v>
      </c>
      <c r="R188" s="84">
        <v>9</v>
      </c>
    </row>
    <row r="189" spans="1:18" x14ac:dyDescent="0.25">
      <c r="A189" s="71">
        <v>42234</v>
      </c>
      <c r="B189" s="20"/>
      <c r="C189" s="15" t="s">
        <v>34</v>
      </c>
      <c r="D189" s="16">
        <v>1</v>
      </c>
      <c r="E189" s="16">
        <v>8</v>
      </c>
      <c r="F189" s="96">
        <f t="shared" ref="F189:F207" si="27">IF(E189=0,0,D189/E189)</f>
        <v>0.125</v>
      </c>
      <c r="G189" s="16">
        <v>1</v>
      </c>
      <c r="H189" s="16">
        <v>5</v>
      </c>
      <c r="I189" s="96">
        <f t="shared" ref="I189:I207" si="28">IF(H189=0,0,G189/H189)</f>
        <v>0.2</v>
      </c>
      <c r="J189" s="16">
        <v>0</v>
      </c>
      <c r="K189" s="16">
        <v>0</v>
      </c>
      <c r="L189" s="96">
        <f t="shared" ref="L189:L207" si="29">IF(K189=0,0,J189/K189)</f>
        <v>0</v>
      </c>
      <c r="M189" s="16">
        <v>2</v>
      </c>
      <c r="N189" s="16">
        <v>2</v>
      </c>
      <c r="O189" s="16">
        <v>0</v>
      </c>
      <c r="P189" s="16">
        <v>0</v>
      </c>
      <c r="Q189" s="16">
        <v>1</v>
      </c>
      <c r="R189" s="16">
        <v>3</v>
      </c>
    </row>
    <row r="190" spans="1:18" x14ac:dyDescent="0.25">
      <c r="A190" s="71">
        <v>42234</v>
      </c>
      <c r="B190" s="20"/>
      <c r="C190" s="15" t="s">
        <v>98</v>
      </c>
      <c r="D190" s="16">
        <v>4</v>
      </c>
      <c r="E190" s="16">
        <v>13</v>
      </c>
      <c r="F190" s="96">
        <f t="shared" si="27"/>
        <v>0.30769230769230771</v>
      </c>
      <c r="G190" s="16">
        <v>1</v>
      </c>
      <c r="H190" s="16">
        <v>5</v>
      </c>
      <c r="I190" s="96">
        <f t="shared" si="28"/>
        <v>0.2</v>
      </c>
      <c r="J190" s="16">
        <v>9</v>
      </c>
      <c r="K190" s="16">
        <v>9</v>
      </c>
      <c r="L190" s="96">
        <f t="shared" si="29"/>
        <v>1</v>
      </c>
      <c r="M190" s="16">
        <v>4</v>
      </c>
      <c r="N190" s="16">
        <v>6</v>
      </c>
      <c r="O190" s="16">
        <v>0</v>
      </c>
      <c r="P190" s="16">
        <v>5</v>
      </c>
      <c r="Q190" s="16">
        <v>0</v>
      </c>
      <c r="R190" s="16">
        <v>18</v>
      </c>
    </row>
    <row r="191" spans="1:18" x14ac:dyDescent="0.25">
      <c r="A191" s="71">
        <v>42234</v>
      </c>
      <c r="B191" s="20"/>
      <c r="C191" s="15" t="s">
        <v>124</v>
      </c>
      <c r="D191" s="16">
        <v>1</v>
      </c>
      <c r="E191" s="16">
        <v>6</v>
      </c>
      <c r="F191" s="96">
        <f t="shared" si="27"/>
        <v>0.16666666666666666</v>
      </c>
      <c r="G191" s="16">
        <v>0</v>
      </c>
      <c r="H191" s="16">
        <v>2</v>
      </c>
      <c r="I191" s="96">
        <f t="shared" si="28"/>
        <v>0</v>
      </c>
      <c r="J191" s="16">
        <v>2</v>
      </c>
      <c r="K191" s="16">
        <v>2</v>
      </c>
      <c r="L191" s="96">
        <f t="shared" si="29"/>
        <v>1</v>
      </c>
      <c r="M191" s="16">
        <v>3</v>
      </c>
      <c r="N191" s="16">
        <v>2</v>
      </c>
      <c r="O191" s="16">
        <v>1</v>
      </c>
      <c r="P191" s="16">
        <v>0</v>
      </c>
      <c r="Q191" s="16">
        <v>0</v>
      </c>
      <c r="R191" s="16">
        <v>4</v>
      </c>
    </row>
    <row r="192" spans="1:18" x14ac:dyDescent="0.25">
      <c r="A192" s="71">
        <v>42235</v>
      </c>
      <c r="B192" s="20"/>
      <c r="C192" s="15" t="s">
        <v>100</v>
      </c>
      <c r="D192" s="16">
        <v>2</v>
      </c>
      <c r="E192" s="16">
        <v>5</v>
      </c>
      <c r="F192" s="96">
        <f t="shared" si="27"/>
        <v>0.4</v>
      </c>
      <c r="G192" s="16">
        <v>0</v>
      </c>
      <c r="H192" s="16">
        <v>0</v>
      </c>
      <c r="I192" s="96">
        <f t="shared" si="28"/>
        <v>0</v>
      </c>
      <c r="J192" s="16">
        <v>0</v>
      </c>
      <c r="K192" s="16">
        <v>0</v>
      </c>
      <c r="L192" s="96">
        <f t="shared" si="29"/>
        <v>0</v>
      </c>
      <c r="M192" s="16">
        <v>3</v>
      </c>
      <c r="N192" s="16">
        <v>0</v>
      </c>
      <c r="O192" s="16">
        <v>1</v>
      </c>
      <c r="P192" s="16">
        <v>3</v>
      </c>
      <c r="Q192" s="16">
        <v>1</v>
      </c>
      <c r="R192" s="16">
        <v>4</v>
      </c>
    </row>
    <row r="193" spans="1:18" x14ac:dyDescent="0.25">
      <c r="A193" s="71">
        <v>42235</v>
      </c>
      <c r="B193" s="20"/>
      <c r="C193" s="15" t="s">
        <v>32</v>
      </c>
      <c r="D193" s="16">
        <v>3</v>
      </c>
      <c r="E193" s="16">
        <v>8</v>
      </c>
      <c r="F193" s="96">
        <f t="shared" si="27"/>
        <v>0.375</v>
      </c>
      <c r="G193" s="16">
        <v>0</v>
      </c>
      <c r="H193" s="16">
        <v>0</v>
      </c>
      <c r="I193" s="96">
        <f t="shared" si="28"/>
        <v>0</v>
      </c>
      <c r="J193" s="16">
        <v>3</v>
      </c>
      <c r="K193" s="16">
        <v>5</v>
      </c>
      <c r="L193" s="96">
        <f t="shared" si="29"/>
        <v>0.6</v>
      </c>
      <c r="M193" s="16">
        <v>6</v>
      </c>
      <c r="N193" s="16">
        <v>1</v>
      </c>
      <c r="O193" s="16">
        <v>2</v>
      </c>
      <c r="P193" s="16">
        <v>1</v>
      </c>
      <c r="Q193" s="16">
        <v>2</v>
      </c>
      <c r="R193" s="16">
        <v>9</v>
      </c>
    </row>
    <row r="194" spans="1:18" x14ac:dyDescent="0.25">
      <c r="A194" s="71">
        <v>42235</v>
      </c>
      <c r="B194" s="20"/>
      <c r="C194" s="15" t="s">
        <v>146</v>
      </c>
      <c r="D194" s="16">
        <v>2</v>
      </c>
      <c r="E194" s="16">
        <v>4</v>
      </c>
      <c r="F194" s="96">
        <f t="shared" si="27"/>
        <v>0.5</v>
      </c>
      <c r="G194" s="16">
        <v>0</v>
      </c>
      <c r="H194" s="16">
        <v>0</v>
      </c>
      <c r="I194" s="96">
        <f t="shared" si="28"/>
        <v>0</v>
      </c>
      <c r="J194" s="16">
        <v>0</v>
      </c>
      <c r="K194" s="16">
        <v>0</v>
      </c>
      <c r="L194" s="96">
        <f t="shared" si="29"/>
        <v>0</v>
      </c>
      <c r="M194" s="16">
        <v>9</v>
      </c>
      <c r="N194" s="16">
        <v>1</v>
      </c>
      <c r="O194" s="16">
        <v>1</v>
      </c>
      <c r="P194" s="16">
        <v>1</v>
      </c>
      <c r="Q194" s="16">
        <v>3</v>
      </c>
      <c r="R194" s="16">
        <v>4</v>
      </c>
    </row>
    <row r="195" spans="1:18" x14ac:dyDescent="0.25">
      <c r="A195" s="71">
        <v>42235</v>
      </c>
      <c r="B195" s="20"/>
      <c r="C195" s="15" t="s">
        <v>29</v>
      </c>
      <c r="D195" s="16">
        <v>2</v>
      </c>
      <c r="E195" s="16">
        <v>10</v>
      </c>
      <c r="F195" s="96">
        <f t="shared" si="27"/>
        <v>0.2</v>
      </c>
      <c r="G195" s="16">
        <v>0</v>
      </c>
      <c r="H195" s="16">
        <v>3</v>
      </c>
      <c r="I195" s="96">
        <f t="shared" si="28"/>
        <v>0</v>
      </c>
      <c r="J195" s="16">
        <v>6</v>
      </c>
      <c r="K195" s="16">
        <v>7</v>
      </c>
      <c r="L195" s="96">
        <f t="shared" si="29"/>
        <v>0.8571428571428571</v>
      </c>
      <c r="M195" s="16">
        <v>5</v>
      </c>
      <c r="N195" s="16">
        <v>4</v>
      </c>
      <c r="O195" s="16">
        <v>0</v>
      </c>
      <c r="P195" s="16">
        <v>3</v>
      </c>
      <c r="Q195" s="16">
        <v>1</v>
      </c>
      <c r="R195" s="16">
        <v>10</v>
      </c>
    </row>
    <row r="196" spans="1:18" x14ac:dyDescent="0.25">
      <c r="A196" s="71">
        <v>42237</v>
      </c>
      <c r="B196" s="20"/>
      <c r="C196" s="15" t="s">
        <v>29</v>
      </c>
      <c r="D196" s="16">
        <v>7</v>
      </c>
      <c r="E196" s="16">
        <v>13</v>
      </c>
      <c r="F196" s="96">
        <f t="shared" si="27"/>
        <v>0.53846153846153844</v>
      </c>
      <c r="G196" s="16">
        <v>4</v>
      </c>
      <c r="H196" s="16">
        <v>6</v>
      </c>
      <c r="I196" s="96">
        <f t="shared" si="28"/>
        <v>0.66666666666666663</v>
      </c>
      <c r="J196" s="16">
        <v>0</v>
      </c>
      <c r="K196" s="16">
        <v>0</v>
      </c>
      <c r="L196" s="96">
        <f t="shared" si="29"/>
        <v>0</v>
      </c>
      <c r="M196" s="16">
        <v>6</v>
      </c>
      <c r="N196" s="16">
        <v>7</v>
      </c>
      <c r="O196" s="16">
        <v>1</v>
      </c>
      <c r="P196" s="16">
        <v>3</v>
      </c>
      <c r="Q196" s="16">
        <v>1</v>
      </c>
      <c r="R196" s="16">
        <v>18</v>
      </c>
    </row>
    <row r="197" spans="1:18" x14ac:dyDescent="0.25">
      <c r="A197" s="71">
        <v>42237</v>
      </c>
      <c r="B197" s="20"/>
      <c r="C197" s="15" t="s">
        <v>32</v>
      </c>
      <c r="D197" s="16">
        <v>1</v>
      </c>
      <c r="E197" s="16">
        <v>5</v>
      </c>
      <c r="F197" s="96">
        <f t="shared" si="27"/>
        <v>0.2</v>
      </c>
      <c r="G197" s="16">
        <v>0</v>
      </c>
      <c r="H197" s="16">
        <v>0</v>
      </c>
      <c r="I197" s="96">
        <f t="shared" si="28"/>
        <v>0</v>
      </c>
      <c r="J197" s="16">
        <v>0</v>
      </c>
      <c r="K197" s="16">
        <v>0</v>
      </c>
      <c r="L197" s="96">
        <f t="shared" si="29"/>
        <v>0</v>
      </c>
      <c r="M197" s="16">
        <v>4</v>
      </c>
      <c r="N197" s="16">
        <v>1</v>
      </c>
      <c r="O197" s="16">
        <v>1</v>
      </c>
      <c r="P197" s="16">
        <v>1</v>
      </c>
      <c r="Q197" s="16">
        <v>1</v>
      </c>
      <c r="R197" s="16">
        <v>2</v>
      </c>
    </row>
    <row r="198" spans="1:18" x14ac:dyDescent="0.25">
      <c r="A198" s="71">
        <v>42237</v>
      </c>
      <c r="B198" s="20"/>
      <c r="C198" s="15" t="s">
        <v>98</v>
      </c>
      <c r="D198" s="16">
        <v>7</v>
      </c>
      <c r="E198" s="16">
        <v>16</v>
      </c>
      <c r="F198" s="96">
        <f t="shared" si="27"/>
        <v>0.4375</v>
      </c>
      <c r="G198" s="16">
        <v>1</v>
      </c>
      <c r="H198" s="16">
        <v>5</v>
      </c>
      <c r="I198" s="96">
        <f t="shared" si="28"/>
        <v>0.2</v>
      </c>
      <c r="J198" s="16">
        <v>7</v>
      </c>
      <c r="K198" s="16">
        <v>8</v>
      </c>
      <c r="L198" s="96">
        <f t="shared" si="29"/>
        <v>0.875</v>
      </c>
      <c r="M198" s="16">
        <v>3</v>
      </c>
      <c r="N198" s="16">
        <v>3</v>
      </c>
      <c r="O198" s="16">
        <v>1</v>
      </c>
      <c r="P198" s="16">
        <v>3</v>
      </c>
      <c r="Q198" s="16">
        <v>0</v>
      </c>
      <c r="R198" s="16">
        <v>22</v>
      </c>
    </row>
    <row r="199" spans="1:18" x14ac:dyDescent="0.25">
      <c r="A199" s="71">
        <v>42237</v>
      </c>
      <c r="B199" s="20"/>
      <c r="C199" s="15" t="s">
        <v>146</v>
      </c>
      <c r="D199" s="16">
        <v>0</v>
      </c>
      <c r="E199" s="16">
        <v>0</v>
      </c>
      <c r="F199" s="96">
        <f t="shared" si="27"/>
        <v>0</v>
      </c>
      <c r="G199" s="16">
        <v>0</v>
      </c>
      <c r="H199" s="16">
        <v>0</v>
      </c>
      <c r="I199" s="96">
        <f t="shared" si="28"/>
        <v>0</v>
      </c>
      <c r="J199" s="16">
        <v>0</v>
      </c>
      <c r="K199" s="16">
        <v>0</v>
      </c>
      <c r="L199" s="96">
        <f t="shared" si="29"/>
        <v>0</v>
      </c>
      <c r="M199" s="16">
        <v>2</v>
      </c>
      <c r="N199" s="16">
        <v>0</v>
      </c>
      <c r="O199" s="16">
        <v>0</v>
      </c>
      <c r="P199" s="16">
        <v>0</v>
      </c>
      <c r="Q199" s="16">
        <v>2</v>
      </c>
      <c r="R199" s="16">
        <v>0</v>
      </c>
    </row>
    <row r="200" spans="1:18" x14ac:dyDescent="0.25">
      <c r="A200" s="71">
        <v>42237</v>
      </c>
      <c r="B200" s="20"/>
      <c r="C200" s="15" t="s">
        <v>124</v>
      </c>
      <c r="D200" s="16">
        <v>6</v>
      </c>
      <c r="E200" s="16">
        <v>10</v>
      </c>
      <c r="F200" s="96">
        <f t="shared" si="27"/>
        <v>0.6</v>
      </c>
      <c r="G200" s="16">
        <v>1</v>
      </c>
      <c r="H200" s="16">
        <v>3</v>
      </c>
      <c r="I200" s="96">
        <f t="shared" si="28"/>
        <v>0.33333333333333331</v>
      </c>
      <c r="J200" s="16">
        <v>4</v>
      </c>
      <c r="K200" s="16">
        <v>5</v>
      </c>
      <c r="L200" s="96">
        <f t="shared" si="29"/>
        <v>0.8</v>
      </c>
      <c r="M200" s="16">
        <v>1</v>
      </c>
      <c r="N200" s="16">
        <v>3</v>
      </c>
      <c r="O200" s="16">
        <v>1</v>
      </c>
      <c r="P200" s="16">
        <v>0</v>
      </c>
      <c r="Q200" s="16">
        <v>0</v>
      </c>
      <c r="R200" s="16">
        <v>17</v>
      </c>
    </row>
    <row r="201" spans="1:18" x14ac:dyDescent="0.25">
      <c r="A201" s="71">
        <v>42237</v>
      </c>
      <c r="B201" s="20"/>
      <c r="C201" s="15" t="s">
        <v>106</v>
      </c>
      <c r="D201" s="16">
        <v>3</v>
      </c>
      <c r="E201" s="16">
        <v>5</v>
      </c>
      <c r="F201" s="96">
        <f t="shared" si="27"/>
        <v>0.6</v>
      </c>
      <c r="G201" s="16">
        <v>0</v>
      </c>
      <c r="H201" s="16">
        <v>2</v>
      </c>
      <c r="I201" s="96">
        <f t="shared" si="28"/>
        <v>0</v>
      </c>
      <c r="J201" s="16">
        <v>3</v>
      </c>
      <c r="K201" s="16">
        <v>4</v>
      </c>
      <c r="L201" s="96">
        <f t="shared" si="29"/>
        <v>0.75</v>
      </c>
      <c r="M201" s="16">
        <v>4</v>
      </c>
      <c r="N201" s="16">
        <v>2</v>
      </c>
      <c r="O201" s="16">
        <v>0</v>
      </c>
      <c r="P201" s="16">
        <v>0</v>
      </c>
      <c r="Q201" s="16">
        <v>1</v>
      </c>
      <c r="R201" s="16">
        <v>9</v>
      </c>
    </row>
    <row r="202" spans="1:18" x14ac:dyDescent="0.25">
      <c r="A202" s="21">
        <v>42239</v>
      </c>
      <c r="B202" s="20"/>
      <c r="C202" s="15" t="s">
        <v>124</v>
      </c>
      <c r="D202" s="16">
        <v>1</v>
      </c>
      <c r="E202" s="16">
        <v>3</v>
      </c>
      <c r="F202" s="96">
        <f t="shared" si="27"/>
        <v>0.33333333333333331</v>
      </c>
      <c r="G202" s="16">
        <v>0</v>
      </c>
      <c r="H202" s="16">
        <v>2</v>
      </c>
      <c r="I202" s="96">
        <f t="shared" si="28"/>
        <v>0</v>
      </c>
      <c r="J202" s="16">
        <v>2</v>
      </c>
      <c r="K202" s="16">
        <v>2</v>
      </c>
      <c r="L202" s="96">
        <f t="shared" si="29"/>
        <v>1</v>
      </c>
      <c r="M202" s="16">
        <v>7</v>
      </c>
      <c r="N202" s="16">
        <v>5</v>
      </c>
      <c r="O202" s="16">
        <v>3</v>
      </c>
      <c r="P202" s="16">
        <v>4</v>
      </c>
      <c r="Q202" s="16">
        <v>0</v>
      </c>
      <c r="R202" s="16">
        <v>4</v>
      </c>
    </row>
    <row r="203" spans="1:18" x14ac:dyDescent="0.25">
      <c r="A203" s="21">
        <v>42239</v>
      </c>
      <c r="B203" s="20"/>
      <c r="C203" s="15" t="s">
        <v>32</v>
      </c>
      <c r="D203" s="16">
        <v>1</v>
      </c>
      <c r="E203" s="16">
        <v>6</v>
      </c>
      <c r="F203" s="96">
        <f t="shared" si="27"/>
        <v>0.16666666666666666</v>
      </c>
      <c r="G203" s="16">
        <v>0</v>
      </c>
      <c r="H203" s="16">
        <v>0</v>
      </c>
      <c r="I203" s="96">
        <f t="shared" si="28"/>
        <v>0</v>
      </c>
      <c r="J203" s="16">
        <v>1</v>
      </c>
      <c r="K203" s="16">
        <v>2</v>
      </c>
      <c r="L203" s="96">
        <f t="shared" si="29"/>
        <v>0.5</v>
      </c>
      <c r="M203" s="16">
        <v>9</v>
      </c>
      <c r="N203" s="16">
        <v>0</v>
      </c>
      <c r="O203" s="16">
        <v>0</v>
      </c>
      <c r="P203" s="16">
        <v>1</v>
      </c>
      <c r="Q203" s="16">
        <v>3</v>
      </c>
      <c r="R203" s="16">
        <v>3</v>
      </c>
    </row>
    <row r="204" spans="1:18" x14ac:dyDescent="0.25">
      <c r="A204" s="21">
        <v>42239</v>
      </c>
      <c r="B204" s="20"/>
      <c r="C204" s="15" t="s">
        <v>29</v>
      </c>
      <c r="D204" s="16">
        <v>5</v>
      </c>
      <c r="E204" s="16">
        <v>17</v>
      </c>
      <c r="F204" s="96">
        <f t="shared" si="27"/>
        <v>0.29411764705882354</v>
      </c>
      <c r="G204" s="16">
        <v>0</v>
      </c>
      <c r="H204" s="16">
        <v>4</v>
      </c>
      <c r="I204" s="96">
        <f t="shared" si="28"/>
        <v>0</v>
      </c>
      <c r="J204" s="16">
        <v>7</v>
      </c>
      <c r="K204" s="16">
        <v>8</v>
      </c>
      <c r="L204" s="96">
        <f t="shared" si="29"/>
        <v>0.875</v>
      </c>
      <c r="M204" s="16">
        <v>4</v>
      </c>
      <c r="N204" s="16">
        <v>0</v>
      </c>
      <c r="O204" s="16">
        <v>1</v>
      </c>
      <c r="P204" s="16">
        <v>1</v>
      </c>
      <c r="Q204" s="16">
        <v>2</v>
      </c>
      <c r="R204" s="16">
        <v>17</v>
      </c>
    </row>
    <row r="205" spans="1:18" x14ac:dyDescent="0.25">
      <c r="A205" s="21">
        <v>42239</v>
      </c>
      <c r="B205" s="20"/>
      <c r="C205" s="15" t="s">
        <v>34</v>
      </c>
      <c r="D205" s="16">
        <v>1</v>
      </c>
      <c r="E205" s="16">
        <v>4</v>
      </c>
      <c r="F205" s="96">
        <f t="shared" si="27"/>
        <v>0.25</v>
      </c>
      <c r="G205" s="16">
        <v>0</v>
      </c>
      <c r="H205" s="16">
        <v>1</v>
      </c>
      <c r="I205" s="96">
        <f t="shared" si="28"/>
        <v>0</v>
      </c>
      <c r="J205" s="16">
        <v>0</v>
      </c>
      <c r="K205" s="16">
        <v>0</v>
      </c>
      <c r="L205" s="96">
        <f t="shared" si="29"/>
        <v>0</v>
      </c>
      <c r="M205" s="16">
        <v>2</v>
      </c>
      <c r="N205" s="16">
        <v>2</v>
      </c>
      <c r="O205" s="16">
        <v>1</v>
      </c>
      <c r="P205" s="16">
        <v>0</v>
      </c>
      <c r="Q205" s="16">
        <v>0</v>
      </c>
      <c r="R205" s="16">
        <v>2</v>
      </c>
    </row>
    <row r="206" spans="1:18" x14ac:dyDescent="0.25">
      <c r="A206" s="21">
        <v>42239</v>
      </c>
      <c r="B206" s="20"/>
      <c r="C206" s="15" t="s">
        <v>100</v>
      </c>
      <c r="D206" s="16">
        <v>1</v>
      </c>
      <c r="E206" s="16">
        <v>3</v>
      </c>
      <c r="F206" s="96">
        <f t="shared" si="27"/>
        <v>0.33333333333333331</v>
      </c>
      <c r="G206" s="16">
        <v>0</v>
      </c>
      <c r="H206" s="16">
        <v>0</v>
      </c>
      <c r="I206" s="96">
        <f t="shared" si="28"/>
        <v>0</v>
      </c>
      <c r="J206" s="16">
        <v>0</v>
      </c>
      <c r="K206" s="16">
        <v>0</v>
      </c>
      <c r="L206" s="96">
        <f t="shared" si="29"/>
        <v>0</v>
      </c>
      <c r="M206" s="16">
        <v>1</v>
      </c>
      <c r="N206" s="16">
        <v>1</v>
      </c>
      <c r="O206" s="16">
        <v>0</v>
      </c>
      <c r="P206" s="16">
        <v>0</v>
      </c>
      <c r="Q206" s="16">
        <v>0</v>
      </c>
      <c r="R206" s="16">
        <v>2</v>
      </c>
    </row>
    <row r="207" spans="1:18" x14ac:dyDescent="0.25">
      <c r="A207" s="21">
        <v>42239</v>
      </c>
      <c r="B207" s="20"/>
      <c r="C207" s="15" t="s">
        <v>97</v>
      </c>
      <c r="D207" s="16">
        <v>3</v>
      </c>
      <c r="E207" s="16">
        <v>4</v>
      </c>
      <c r="F207" s="96">
        <f t="shared" si="27"/>
        <v>0.75</v>
      </c>
      <c r="G207" s="16">
        <v>0</v>
      </c>
      <c r="H207" s="16">
        <v>0</v>
      </c>
      <c r="I207" s="96">
        <f t="shared" si="28"/>
        <v>0</v>
      </c>
      <c r="J207" s="16">
        <v>5</v>
      </c>
      <c r="K207" s="16">
        <v>5</v>
      </c>
      <c r="L207" s="96">
        <f t="shared" si="29"/>
        <v>1</v>
      </c>
      <c r="M207" s="16">
        <v>3</v>
      </c>
      <c r="N207" s="16">
        <v>2</v>
      </c>
      <c r="O207" s="16">
        <v>0</v>
      </c>
      <c r="P207" s="16">
        <v>0</v>
      </c>
      <c r="Q207" s="16">
        <v>0</v>
      </c>
      <c r="R207" s="16">
        <v>11</v>
      </c>
    </row>
    <row r="208" spans="1:18" x14ac:dyDescent="0.25">
      <c r="A208" s="71">
        <v>42242</v>
      </c>
      <c r="B208" s="20"/>
      <c r="C208" s="15" t="s">
        <v>124</v>
      </c>
      <c r="D208" s="16">
        <v>4</v>
      </c>
      <c r="E208" s="16">
        <v>9</v>
      </c>
      <c r="F208" s="98">
        <f t="shared" ref="F208:F224" si="30">IF(E208=0,0,D208/E208)</f>
        <v>0.44444444444444442</v>
      </c>
      <c r="G208" s="16">
        <v>3</v>
      </c>
      <c r="H208" s="16">
        <v>5</v>
      </c>
      <c r="I208" s="98">
        <f t="shared" ref="I208:I224" si="31">IF(H208=0,0,G208/H208)</f>
        <v>0.6</v>
      </c>
      <c r="J208" s="16">
        <v>5</v>
      </c>
      <c r="K208" s="16">
        <v>5</v>
      </c>
      <c r="L208" s="98">
        <f t="shared" ref="L208:L224" si="32">IF(K208=0,0,J208/K208)</f>
        <v>1</v>
      </c>
      <c r="M208" s="16">
        <v>2</v>
      </c>
      <c r="N208" s="16">
        <v>2</v>
      </c>
      <c r="O208" s="16">
        <v>1</v>
      </c>
      <c r="P208" s="16">
        <v>2</v>
      </c>
      <c r="Q208" s="16">
        <v>0</v>
      </c>
      <c r="R208" s="16">
        <v>16</v>
      </c>
    </row>
    <row r="209" spans="1:18" x14ac:dyDescent="0.25">
      <c r="A209" s="71">
        <v>42242</v>
      </c>
      <c r="B209" s="20"/>
      <c r="C209" s="15" t="s">
        <v>97</v>
      </c>
      <c r="D209" s="16">
        <v>3</v>
      </c>
      <c r="E209" s="16">
        <v>8</v>
      </c>
      <c r="F209" s="98">
        <f t="shared" si="30"/>
        <v>0.375</v>
      </c>
      <c r="G209" s="16">
        <v>0</v>
      </c>
      <c r="H209" s="16">
        <v>0</v>
      </c>
      <c r="I209" s="98">
        <f t="shared" si="31"/>
        <v>0</v>
      </c>
      <c r="J209" s="16">
        <v>1</v>
      </c>
      <c r="K209" s="16">
        <v>2</v>
      </c>
      <c r="L209" s="98">
        <f t="shared" si="32"/>
        <v>0.5</v>
      </c>
      <c r="M209" s="16">
        <v>3</v>
      </c>
      <c r="N209" s="16">
        <v>1</v>
      </c>
      <c r="O209" s="16">
        <v>0</v>
      </c>
      <c r="P209" s="16">
        <v>0</v>
      </c>
      <c r="Q209" s="16">
        <v>0</v>
      </c>
      <c r="R209" s="16">
        <v>7</v>
      </c>
    </row>
    <row r="210" spans="1:18" x14ac:dyDescent="0.25">
      <c r="A210" s="71">
        <v>42243</v>
      </c>
      <c r="B210" s="20"/>
      <c r="C210" s="15" t="s">
        <v>34</v>
      </c>
      <c r="D210" s="16">
        <v>6</v>
      </c>
      <c r="E210" s="16">
        <v>12</v>
      </c>
      <c r="F210" s="98">
        <f t="shared" si="30"/>
        <v>0.5</v>
      </c>
      <c r="G210" s="16">
        <v>4</v>
      </c>
      <c r="H210" s="16">
        <v>7</v>
      </c>
      <c r="I210" s="98">
        <f t="shared" si="31"/>
        <v>0.5714285714285714</v>
      </c>
      <c r="J210" s="16">
        <v>0</v>
      </c>
      <c r="K210" s="16">
        <v>0</v>
      </c>
      <c r="L210" s="98">
        <f t="shared" si="32"/>
        <v>0</v>
      </c>
      <c r="M210" s="16">
        <v>1</v>
      </c>
      <c r="N210" s="16">
        <v>3</v>
      </c>
      <c r="O210" s="16">
        <v>0</v>
      </c>
      <c r="P210" s="16">
        <v>2</v>
      </c>
      <c r="Q210" s="16">
        <v>0</v>
      </c>
      <c r="R210" s="16">
        <v>16</v>
      </c>
    </row>
    <row r="211" spans="1:18" x14ac:dyDescent="0.25">
      <c r="A211" s="71">
        <v>42244</v>
      </c>
      <c r="B211" s="20"/>
      <c r="C211" s="15" t="s">
        <v>124</v>
      </c>
      <c r="D211" s="16">
        <v>6</v>
      </c>
      <c r="E211" s="16">
        <v>11</v>
      </c>
      <c r="F211" s="98">
        <f t="shared" si="30"/>
        <v>0.54545454545454541</v>
      </c>
      <c r="G211" s="16">
        <v>1</v>
      </c>
      <c r="H211" s="16">
        <v>5</v>
      </c>
      <c r="I211" s="98">
        <f t="shared" si="31"/>
        <v>0.2</v>
      </c>
      <c r="J211" s="16">
        <v>0</v>
      </c>
      <c r="K211" s="16">
        <v>0</v>
      </c>
      <c r="L211" s="98">
        <f t="shared" si="32"/>
        <v>0</v>
      </c>
      <c r="M211" s="16">
        <v>2</v>
      </c>
      <c r="N211" s="16">
        <v>4</v>
      </c>
      <c r="O211" s="16">
        <v>1</v>
      </c>
      <c r="P211" s="16">
        <v>2</v>
      </c>
      <c r="Q211" s="16">
        <v>0</v>
      </c>
      <c r="R211" s="16">
        <v>13</v>
      </c>
    </row>
    <row r="212" spans="1:18" x14ac:dyDescent="0.25">
      <c r="A212" s="71">
        <v>42244</v>
      </c>
      <c r="B212" s="20"/>
      <c r="C212" s="15" t="s">
        <v>32</v>
      </c>
      <c r="D212" s="16">
        <v>0</v>
      </c>
      <c r="E212" s="16">
        <v>4</v>
      </c>
      <c r="F212" s="98">
        <f t="shared" si="30"/>
        <v>0</v>
      </c>
      <c r="G212" s="16">
        <v>0</v>
      </c>
      <c r="H212" s="16">
        <v>0</v>
      </c>
      <c r="I212" s="98">
        <f t="shared" si="31"/>
        <v>0</v>
      </c>
      <c r="J212" s="16">
        <v>0</v>
      </c>
      <c r="K212" s="16">
        <v>0</v>
      </c>
      <c r="L212" s="98">
        <f t="shared" si="32"/>
        <v>0</v>
      </c>
      <c r="M212" s="16">
        <v>4</v>
      </c>
      <c r="N212" s="16">
        <v>2</v>
      </c>
      <c r="O212" s="16">
        <v>1</v>
      </c>
      <c r="P212" s="16">
        <v>0</v>
      </c>
      <c r="Q212" s="16">
        <v>0</v>
      </c>
      <c r="R212" s="16">
        <v>0</v>
      </c>
    </row>
    <row r="213" spans="1:18" x14ac:dyDescent="0.25">
      <c r="A213" s="71">
        <v>42244</v>
      </c>
      <c r="B213" s="20"/>
      <c r="C213" s="15" t="s">
        <v>98</v>
      </c>
      <c r="D213" s="16">
        <v>5</v>
      </c>
      <c r="E213" s="16">
        <v>14</v>
      </c>
      <c r="F213" s="98">
        <f t="shared" si="30"/>
        <v>0.35714285714285715</v>
      </c>
      <c r="G213" s="16">
        <v>1</v>
      </c>
      <c r="H213" s="16">
        <v>4</v>
      </c>
      <c r="I213" s="98">
        <f t="shared" si="31"/>
        <v>0.25</v>
      </c>
      <c r="J213" s="16">
        <v>4</v>
      </c>
      <c r="K213" s="16">
        <v>5</v>
      </c>
      <c r="L213" s="98">
        <f t="shared" si="32"/>
        <v>0.8</v>
      </c>
      <c r="M213" s="16">
        <v>6</v>
      </c>
      <c r="N213" s="16">
        <v>4</v>
      </c>
      <c r="O213" s="16">
        <v>3</v>
      </c>
      <c r="P213" s="16">
        <v>2</v>
      </c>
      <c r="Q213" s="16">
        <v>1</v>
      </c>
      <c r="R213" s="16">
        <v>15</v>
      </c>
    </row>
    <row r="214" spans="1:18" x14ac:dyDescent="0.25">
      <c r="A214" s="71">
        <v>42244</v>
      </c>
      <c r="B214" s="20"/>
      <c r="C214" s="15" t="s">
        <v>106</v>
      </c>
      <c r="D214" s="16">
        <v>4</v>
      </c>
      <c r="E214" s="16">
        <v>9</v>
      </c>
      <c r="F214" s="98">
        <f t="shared" si="30"/>
        <v>0.44444444444444442</v>
      </c>
      <c r="G214" s="16">
        <v>0</v>
      </c>
      <c r="H214" s="16">
        <v>2</v>
      </c>
      <c r="I214" s="98">
        <f t="shared" si="31"/>
        <v>0</v>
      </c>
      <c r="J214" s="16">
        <v>2</v>
      </c>
      <c r="K214" s="16">
        <v>2</v>
      </c>
      <c r="L214" s="98">
        <f t="shared" si="32"/>
        <v>1</v>
      </c>
      <c r="M214" s="16">
        <v>5</v>
      </c>
      <c r="N214" s="16">
        <v>0</v>
      </c>
      <c r="O214" s="16">
        <v>2</v>
      </c>
      <c r="P214" s="16">
        <v>0</v>
      </c>
      <c r="Q214" s="16">
        <v>1</v>
      </c>
      <c r="R214" s="16">
        <v>10</v>
      </c>
    </row>
    <row r="215" spans="1:18" x14ac:dyDescent="0.25">
      <c r="A215" s="71">
        <v>42244</v>
      </c>
      <c r="B215" s="20"/>
      <c r="C215" s="15" t="s">
        <v>97</v>
      </c>
      <c r="D215" s="16">
        <v>0</v>
      </c>
      <c r="E215" s="16">
        <v>0</v>
      </c>
      <c r="F215" s="98">
        <f t="shared" si="30"/>
        <v>0</v>
      </c>
      <c r="G215" s="16">
        <v>0</v>
      </c>
      <c r="H215" s="16">
        <v>0</v>
      </c>
      <c r="I215" s="98">
        <f t="shared" si="31"/>
        <v>0</v>
      </c>
      <c r="J215" s="16">
        <v>1</v>
      </c>
      <c r="K215" s="16">
        <v>2</v>
      </c>
      <c r="L215" s="98">
        <f t="shared" si="32"/>
        <v>0.5</v>
      </c>
      <c r="M215" s="16">
        <v>2</v>
      </c>
      <c r="N215" s="16">
        <v>0</v>
      </c>
      <c r="O215" s="16">
        <v>0</v>
      </c>
      <c r="P215" s="16">
        <v>0</v>
      </c>
      <c r="Q215" s="16">
        <v>0</v>
      </c>
      <c r="R215" s="16">
        <v>1</v>
      </c>
    </row>
    <row r="216" spans="1:18" x14ac:dyDescent="0.25">
      <c r="A216" s="71">
        <v>42244</v>
      </c>
      <c r="B216" s="20"/>
      <c r="C216" s="15" t="s">
        <v>29</v>
      </c>
      <c r="D216" s="16">
        <v>8</v>
      </c>
      <c r="E216" s="16">
        <v>20</v>
      </c>
      <c r="F216" s="98">
        <f t="shared" si="30"/>
        <v>0.4</v>
      </c>
      <c r="G216" s="16">
        <v>2</v>
      </c>
      <c r="H216" s="16">
        <v>5</v>
      </c>
      <c r="I216" s="98">
        <f t="shared" si="31"/>
        <v>0.4</v>
      </c>
      <c r="J216" s="16">
        <v>7</v>
      </c>
      <c r="K216" s="16">
        <v>9</v>
      </c>
      <c r="L216" s="98">
        <f t="shared" si="32"/>
        <v>0.77777777777777779</v>
      </c>
      <c r="M216" s="16">
        <v>9</v>
      </c>
      <c r="N216" s="16">
        <v>3</v>
      </c>
      <c r="O216" s="16">
        <v>1</v>
      </c>
      <c r="P216" s="16">
        <v>4</v>
      </c>
      <c r="Q216" s="16">
        <v>0</v>
      </c>
      <c r="R216" s="16">
        <v>25</v>
      </c>
    </row>
    <row r="217" spans="1:18" x14ac:dyDescent="0.25">
      <c r="A217" s="14">
        <v>42245</v>
      </c>
      <c r="B217" s="15"/>
      <c r="C217" s="15" t="s">
        <v>100</v>
      </c>
      <c r="D217" s="16">
        <v>2</v>
      </c>
      <c r="E217" s="16">
        <v>2</v>
      </c>
      <c r="F217" s="98">
        <f t="shared" si="30"/>
        <v>1</v>
      </c>
      <c r="G217" s="16">
        <v>0</v>
      </c>
      <c r="H217" s="16">
        <v>0</v>
      </c>
      <c r="I217" s="98">
        <f t="shared" si="31"/>
        <v>0</v>
      </c>
      <c r="J217" s="16">
        <v>0</v>
      </c>
      <c r="K217" s="16">
        <v>0</v>
      </c>
      <c r="L217" s="98">
        <f t="shared" si="32"/>
        <v>0</v>
      </c>
      <c r="M217" s="16">
        <v>5</v>
      </c>
      <c r="N217" s="16">
        <v>0</v>
      </c>
      <c r="O217" s="16">
        <v>0</v>
      </c>
      <c r="P217" s="16">
        <v>1</v>
      </c>
      <c r="Q217" s="16">
        <v>0</v>
      </c>
      <c r="R217" s="16">
        <v>4</v>
      </c>
    </row>
    <row r="218" spans="1:18" x14ac:dyDescent="0.25">
      <c r="A218" s="21">
        <v>42245</v>
      </c>
      <c r="B218" s="20"/>
      <c r="C218" s="20" t="s">
        <v>65</v>
      </c>
      <c r="D218" s="99">
        <v>0</v>
      </c>
      <c r="E218" s="99">
        <v>3</v>
      </c>
      <c r="F218" s="98">
        <f t="shared" si="30"/>
        <v>0</v>
      </c>
      <c r="G218" s="99">
        <v>0</v>
      </c>
      <c r="H218" s="99">
        <v>0</v>
      </c>
      <c r="I218" s="98">
        <f t="shared" si="31"/>
        <v>0</v>
      </c>
      <c r="J218" s="99">
        <v>3</v>
      </c>
      <c r="K218" s="99">
        <v>6</v>
      </c>
      <c r="L218" s="98">
        <f t="shared" si="32"/>
        <v>0.5</v>
      </c>
      <c r="M218" s="99">
        <v>4</v>
      </c>
      <c r="N218" s="99">
        <v>0</v>
      </c>
      <c r="O218" s="99">
        <v>0</v>
      </c>
      <c r="P218" s="99">
        <v>1</v>
      </c>
      <c r="Q218" s="99">
        <v>0</v>
      </c>
      <c r="R218" s="99">
        <v>3</v>
      </c>
    </row>
    <row r="219" spans="1:18" x14ac:dyDescent="0.25">
      <c r="A219" s="71">
        <v>42246</v>
      </c>
      <c r="B219" s="20"/>
      <c r="C219" s="15" t="s">
        <v>98</v>
      </c>
      <c r="D219" s="16">
        <v>0</v>
      </c>
      <c r="E219" s="16">
        <v>1</v>
      </c>
      <c r="F219" s="98">
        <f t="shared" si="30"/>
        <v>0</v>
      </c>
      <c r="G219" s="16">
        <v>0</v>
      </c>
      <c r="H219" s="16">
        <v>1</v>
      </c>
      <c r="I219" s="98">
        <f t="shared" si="31"/>
        <v>0</v>
      </c>
      <c r="J219" s="16">
        <v>1</v>
      </c>
      <c r="K219" s="16">
        <v>2</v>
      </c>
      <c r="L219" s="98">
        <f t="shared" si="32"/>
        <v>0.5</v>
      </c>
      <c r="M219" s="16">
        <v>0</v>
      </c>
      <c r="N219" s="16">
        <v>2</v>
      </c>
      <c r="O219" s="16">
        <v>0</v>
      </c>
      <c r="P219" s="16">
        <v>0</v>
      </c>
      <c r="Q219" s="16">
        <v>1</v>
      </c>
      <c r="R219" s="16">
        <v>1</v>
      </c>
    </row>
    <row r="220" spans="1:18" x14ac:dyDescent="0.25">
      <c r="A220" s="71">
        <v>42246</v>
      </c>
      <c r="B220" s="20"/>
      <c r="C220" s="15" t="s">
        <v>32</v>
      </c>
      <c r="D220" s="16">
        <v>2</v>
      </c>
      <c r="E220" s="16">
        <v>5</v>
      </c>
      <c r="F220" s="98">
        <f t="shared" si="30"/>
        <v>0.4</v>
      </c>
      <c r="G220" s="16">
        <v>0</v>
      </c>
      <c r="H220" s="16">
        <v>0</v>
      </c>
      <c r="I220" s="98">
        <f t="shared" si="31"/>
        <v>0</v>
      </c>
      <c r="J220" s="16">
        <v>0</v>
      </c>
      <c r="K220" s="16">
        <v>0</v>
      </c>
      <c r="L220" s="98">
        <f t="shared" si="32"/>
        <v>0</v>
      </c>
      <c r="M220" s="16">
        <v>13</v>
      </c>
      <c r="N220" s="16">
        <v>2</v>
      </c>
      <c r="O220" s="16">
        <v>1</v>
      </c>
      <c r="P220" s="16">
        <v>2</v>
      </c>
      <c r="Q220" s="16">
        <v>0</v>
      </c>
      <c r="R220" s="16">
        <v>4</v>
      </c>
    </row>
    <row r="221" spans="1:18" x14ac:dyDescent="0.25">
      <c r="A221" s="71">
        <v>42246</v>
      </c>
      <c r="B221" s="20"/>
      <c r="C221" s="15" t="s">
        <v>124</v>
      </c>
      <c r="D221" s="16">
        <v>5</v>
      </c>
      <c r="E221" s="16">
        <v>9</v>
      </c>
      <c r="F221" s="98">
        <f t="shared" si="30"/>
        <v>0.55555555555555558</v>
      </c>
      <c r="G221" s="16">
        <v>3</v>
      </c>
      <c r="H221" s="16">
        <v>6</v>
      </c>
      <c r="I221" s="98">
        <f t="shared" si="31"/>
        <v>0.5</v>
      </c>
      <c r="J221" s="16">
        <v>2</v>
      </c>
      <c r="K221" s="16">
        <v>2</v>
      </c>
      <c r="L221" s="98">
        <f t="shared" si="32"/>
        <v>1</v>
      </c>
      <c r="M221" s="16">
        <v>1</v>
      </c>
      <c r="N221" s="16">
        <v>5</v>
      </c>
      <c r="O221" s="16">
        <v>1</v>
      </c>
      <c r="P221" s="16">
        <v>5</v>
      </c>
      <c r="Q221" s="16">
        <v>0</v>
      </c>
      <c r="R221" s="16">
        <v>15</v>
      </c>
    </row>
    <row r="222" spans="1:18" x14ac:dyDescent="0.25">
      <c r="A222" s="71">
        <v>42246</v>
      </c>
      <c r="B222" s="20"/>
      <c r="C222" s="15" t="s">
        <v>34</v>
      </c>
      <c r="D222" s="16">
        <v>1</v>
      </c>
      <c r="E222" s="16">
        <v>7</v>
      </c>
      <c r="F222" s="98">
        <f t="shared" si="30"/>
        <v>0.14285714285714285</v>
      </c>
      <c r="G222" s="16">
        <v>1</v>
      </c>
      <c r="H222" s="16">
        <v>3</v>
      </c>
      <c r="I222" s="98">
        <f t="shared" si="31"/>
        <v>0.33333333333333331</v>
      </c>
      <c r="J222" s="16">
        <v>0</v>
      </c>
      <c r="K222" s="16">
        <v>0</v>
      </c>
      <c r="L222" s="98">
        <f t="shared" si="32"/>
        <v>0</v>
      </c>
      <c r="M222" s="16">
        <v>3</v>
      </c>
      <c r="N222" s="16">
        <v>1</v>
      </c>
      <c r="O222" s="16">
        <v>0</v>
      </c>
      <c r="P222" s="16">
        <v>2</v>
      </c>
      <c r="Q222" s="16">
        <v>0</v>
      </c>
      <c r="R222" s="16">
        <v>3</v>
      </c>
    </row>
    <row r="223" spans="1:18" x14ac:dyDescent="0.25">
      <c r="A223" s="71">
        <v>42246</v>
      </c>
      <c r="B223" s="20"/>
      <c r="C223" s="15" t="s">
        <v>29</v>
      </c>
      <c r="D223" s="16">
        <v>9</v>
      </c>
      <c r="E223" s="16">
        <v>28</v>
      </c>
      <c r="F223" s="98">
        <f t="shared" si="30"/>
        <v>0.32142857142857145</v>
      </c>
      <c r="G223" s="16">
        <v>2</v>
      </c>
      <c r="H223" s="16">
        <v>6</v>
      </c>
      <c r="I223" s="98">
        <f t="shared" si="31"/>
        <v>0.33333333333333331</v>
      </c>
      <c r="J223" s="16">
        <v>8</v>
      </c>
      <c r="K223" s="16">
        <v>8</v>
      </c>
      <c r="L223" s="98">
        <f t="shared" si="32"/>
        <v>1</v>
      </c>
      <c r="M223" s="16">
        <v>9</v>
      </c>
      <c r="N223" s="16">
        <v>5</v>
      </c>
      <c r="O223" s="16">
        <v>4</v>
      </c>
      <c r="P223" s="16">
        <v>2</v>
      </c>
      <c r="Q223" s="16">
        <v>1</v>
      </c>
      <c r="R223" s="16">
        <v>28</v>
      </c>
    </row>
    <row r="224" spans="1:18" x14ac:dyDescent="0.25">
      <c r="A224" s="71">
        <v>42246</v>
      </c>
      <c r="B224" s="20"/>
      <c r="C224" s="15" t="s">
        <v>106</v>
      </c>
      <c r="D224" s="16">
        <v>1</v>
      </c>
      <c r="E224" s="16">
        <v>4</v>
      </c>
      <c r="F224" s="98">
        <f t="shared" si="30"/>
        <v>0.25</v>
      </c>
      <c r="G224" s="16">
        <v>1</v>
      </c>
      <c r="H224" s="16">
        <v>3</v>
      </c>
      <c r="I224" s="98">
        <f t="shared" si="31"/>
        <v>0.33333333333333331</v>
      </c>
      <c r="J224" s="16">
        <v>0</v>
      </c>
      <c r="K224" s="16">
        <v>0</v>
      </c>
      <c r="L224" s="98">
        <f t="shared" si="32"/>
        <v>0</v>
      </c>
      <c r="M224" s="16">
        <v>6</v>
      </c>
      <c r="N224" s="16">
        <v>2</v>
      </c>
      <c r="O224" s="16">
        <v>0</v>
      </c>
      <c r="P224" s="16">
        <v>3</v>
      </c>
      <c r="Q224" s="16">
        <v>1</v>
      </c>
      <c r="R224" s="16">
        <v>3</v>
      </c>
    </row>
    <row r="225" spans="1:18" x14ac:dyDescent="0.25">
      <c r="A225" s="71">
        <v>42248</v>
      </c>
      <c r="B225" s="20"/>
      <c r="C225" s="15" t="s">
        <v>110</v>
      </c>
      <c r="D225" s="16">
        <v>1</v>
      </c>
      <c r="E225" s="16">
        <v>2</v>
      </c>
      <c r="F225" s="100">
        <f t="shared" ref="F225:F244" si="33">IF(E225=0,0,D225/E225)</f>
        <v>0.5</v>
      </c>
      <c r="G225" s="16">
        <v>0</v>
      </c>
      <c r="H225" s="16">
        <v>1</v>
      </c>
      <c r="I225" s="100">
        <f t="shared" ref="I225:I244" si="34">IF(H225=0,0,G225/H225)</f>
        <v>0</v>
      </c>
      <c r="J225" s="16">
        <v>0</v>
      </c>
      <c r="K225" s="16">
        <v>0</v>
      </c>
      <c r="L225" s="100">
        <f t="shared" ref="L225:L244" si="35">IF(K225=0,0,J225/K225)</f>
        <v>0</v>
      </c>
      <c r="M225" s="16">
        <v>1</v>
      </c>
      <c r="N225" s="16">
        <v>3</v>
      </c>
      <c r="O225" s="16">
        <v>0</v>
      </c>
      <c r="P225" s="16">
        <v>1</v>
      </c>
      <c r="Q225" s="16">
        <v>0</v>
      </c>
      <c r="R225" s="16">
        <v>2</v>
      </c>
    </row>
    <row r="226" spans="1:18" x14ac:dyDescent="0.25">
      <c r="A226" s="71">
        <v>42248</v>
      </c>
      <c r="B226" s="20"/>
      <c r="C226" s="15" t="s">
        <v>100</v>
      </c>
      <c r="D226" s="16">
        <v>0</v>
      </c>
      <c r="E226" s="16">
        <v>0</v>
      </c>
      <c r="F226" s="100">
        <f t="shared" si="33"/>
        <v>0</v>
      </c>
      <c r="G226" s="16">
        <v>0</v>
      </c>
      <c r="H226" s="16">
        <v>0</v>
      </c>
      <c r="I226" s="100">
        <f t="shared" si="34"/>
        <v>0</v>
      </c>
      <c r="J226" s="16">
        <v>0</v>
      </c>
      <c r="K226" s="16">
        <v>0</v>
      </c>
      <c r="L226" s="100">
        <f t="shared" si="35"/>
        <v>0</v>
      </c>
      <c r="M226" s="16">
        <v>6</v>
      </c>
      <c r="N226" s="16">
        <v>0</v>
      </c>
      <c r="O226" s="16">
        <v>1</v>
      </c>
      <c r="P226" s="16">
        <v>1</v>
      </c>
      <c r="Q226" s="16">
        <v>0</v>
      </c>
      <c r="R226" s="16">
        <v>0</v>
      </c>
    </row>
    <row r="227" spans="1:18" x14ac:dyDescent="0.25">
      <c r="A227" s="71">
        <v>42249</v>
      </c>
      <c r="B227" s="20"/>
      <c r="C227" s="15" t="s">
        <v>34</v>
      </c>
      <c r="D227" s="16">
        <v>3</v>
      </c>
      <c r="E227" s="16">
        <v>7</v>
      </c>
      <c r="F227" s="100">
        <f t="shared" si="33"/>
        <v>0.42857142857142855</v>
      </c>
      <c r="G227" s="16">
        <v>1</v>
      </c>
      <c r="H227" s="16">
        <v>4</v>
      </c>
      <c r="I227" s="100">
        <f t="shared" si="34"/>
        <v>0.25</v>
      </c>
      <c r="J227" s="16">
        <v>0</v>
      </c>
      <c r="K227" s="16">
        <v>0</v>
      </c>
      <c r="L227" s="100">
        <f t="shared" si="35"/>
        <v>0</v>
      </c>
      <c r="M227" s="16">
        <v>0</v>
      </c>
      <c r="N227" s="16">
        <v>3</v>
      </c>
      <c r="O227" s="16">
        <v>2</v>
      </c>
      <c r="P227" s="16">
        <v>1</v>
      </c>
      <c r="Q227" s="16">
        <v>1</v>
      </c>
      <c r="R227" s="16">
        <v>7</v>
      </c>
    </row>
    <row r="228" spans="1:18" x14ac:dyDescent="0.25">
      <c r="A228" s="71">
        <v>42250</v>
      </c>
      <c r="B228" s="20"/>
      <c r="C228" s="15" t="s">
        <v>124</v>
      </c>
      <c r="D228" s="16">
        <v>1</v>
      </c>
      <c r="E228" s="16">
        <v>5</v>
      </c>
      <c r="F228" s="100">
        <f t="shared" si="33"/>
        <v>0.2</v>
      </c>
      <c r="G228" s="16">
        <v>0</v>
      </c>
      <c r="H228" s="16">
        <v>1</v>
      </c>
      <c r="I228" s="100">
        <f t="shared" si="34"/>
        <v>0</v>
      </c>
      <c r="J228" s="16">
        <v>2</v>
      </c>
      <c r="K228" s="16">
        <v>2</v>
      </c>
      <c r="L228" s="100">
        <f t="shared" si="35"/>
        <v>1</v>
      </c>
      <c r="M228" s="16">
        <v>0</v>
      </c>
      <c r="N228" s="16">
        <v>0</v>
      </c>
      <c r="O228" s="16">
        <v>2</v>
      </c>
      <c r="P228" s="16">
        <v>2</v>
      </c>
      <c r="Q228" s="16">
        <v>0</v>
      </c>
      <c r="R228" s="16">
        <v>4</v>
      </c>
    </row>
    <row r="229" spans="1:18" x14ac:dyDescent="0.25">
      <c r="A229" s="71">
        <v>42250</v>
      </c>
      <c r="B229" s="20"/>
      <c r="C229" s="15" t="s">
        <v>106</v>
      </c>
      <c r="D229" s="16">
        <v>1</v>
      </c>
      <c r="E229" s="16">
        <v>3</v>
      </c>
      <c r="F229" s="100">
        <f t="shared" si="33"/>
        <v>0.33333333333333331</v>
      </c>
      <c r="G229" s="16">
        <v>0</v>
      </c>
      <c r="H229" s="16">
        <v>1</v>
      </c>
      <c r="I229" s="100">
        <f t="shared" si="34"/>
        <v>0</v>
      </c>
      <c r="J229" s="16">
        <v>0</v>
      </c>
      <c r="K229" s="16">
        <v>0</v>
      </c>
      <c r="L229" s="100">
        <f t="shared" si="35"/>
        <v>0</v>
      </c>
      <c r="M229" s="16">
        <v>2</v>
      </c>
      <c r="N229" s="16">
        <v>0</v>
      </c>
      <c r="O229" s="16">
        <v>1</v>
      </c>
      <c r="P229" s="16">
        <v>0</v>
      </c>
      <c r="Q229" s="16">
        <v>0</v>
      </c>
      <c r="R229" s="16">
        <v>2</v>
      </c>
    </row>
    <row r="230" spans="1:18" x14ac:dyDescent="0.25">
      <c r="A230" s="71">
        <v>42250</v>
      </c>
      <c r="B230" s="20"/>
      <c r="C230" s="15" t="s">
        <v>100</v>
      </c>
      <c r="D230" s="16">
        <v>2</v>
      </c>
      <c r="E230" s="16">
        <v>5</v>
      </c>
      <c r="F230" s="100">
        <f t="shared" si="33"/>
        <v>0.4</v>
      </c>
      <c r="G230" s="16">
        <v>0</v>
      </c>
      <c r="H230" s="16">
        <v>0</v>
      </c>
      <c r="I230" s="100">
        <f t="shared" si="34"/>
        <v>0</v>
      </c>
      <c r="J230" s="16">
        <v>1</v>
      </c>
      <c r="K230" s="16">
        <v>2</v>
      </c>
      <c r="L230" s="100">
        <f t="shared" si="35"/>
        <v>0.5</v>
      </c>
      <c r="M230" s="16">
        <v>6</v>
      </c>
      <c r="N230" s="16">
        <v>3</v>
      </c>
      <c r="O230" s="16">
        <v>1</v>
      </c>
      <c r="P230" s="16">
        <v>0</v>
      </c>
      <c r="Q230" s="16">
        <v>2</v>
      </c>
      <c r="R230" s="16">
        <v>5</v>
      </c>
    </row>
    <row r="231" spans="1:18" x14ac:dyDescent="0.25">
      <c r="A231" s="71">
        <v>42250</v>
      </c>
      <c r="B231" s="20"/>
      <c r="C231" s="15" t="s">
        <v>110</v>
      </c>
      <c r="D231" s="16">
        <v>1</v>
      </c>
      <c r="E231" s="16">
        <v>4</v>
      </c>
      <c r="F231" s="100">
        <f t="shared" si="33"/>
        <v>0.25</v>
      </c>
      <c r="G231" s="16">
        <v>0</v>
      </c>
      <c r="H231" s="16">
        <v>1</v>
      </c>
      <c r="I231" s="100">
        <f t="shared" si="34"/>
        <v>0</v>
      </c>
      <c r="J231" s="16">
        <v>0</v>
      </c>
      <c r="K231" s="16">
        <v>0</v>
      </c>
      <c r="L231" s="100">
        <f t="shared" si="35"/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2</v>
      </c>
    </row>
    <row r="232" spans="1:18" x14ac:dyDescent="0.25">
      <c r="A232" s="71">
        <v>42251</v>
      </c>
      <c r="B232" s="20"/>
      <c r="C232" s="15" t="s">
        <v>130</v>
      </c>
      <c r="D232" s="16">
        <v>0</v>
      </c>
      <c r="E232" s="16">
        <v>0</v>
      </c>
      <c r="F232" s="100">
        <f t="shared" si="33"/>
        <v>0</v>
      </c>
      <c r="G232" s="16">
        <v>0</v>
      </c>
      <c r="H232" s="16">
        <v>0</v>
      </c>
      <c r="I232" s="100">
        <f t="shared" si="34"/>
        <v>0</v>
      </c>
      <c r="J232" s="16">
        <v>0</v>
      </c>
      <c r="K232" s="16">
        <v>0</v>
      </c>
      <c r="L232" s="100">
        <f t="shared" si="35"/>
        <v>0</v>
      </c>
      <c r="M232" s="16">
        <v>1</v>
      </c>
      <c r="N232" s="16">
        <v>5</v>
      </c>
      <c r="O232" s="16">
        <v>0</v>
      </c>
      <c r="P232" s="16">
        <v>2</v>
      </c>
      <c r="Q232" s="16">
        <v>1</v>
      </c>
      <c r="R232" s="16">
        <v>0</v>
      </c>
    </row>
    <row r="233" spans="1:18" x14ac:dyDescent="0.25">
      <c r="A233" s="71">
        <v>42251</v>
      </c>
      <c r="B233" s="20"/>
      <c r="C233" s="15" t="s">
        <v>29</v>
      </c>
      <c r="D233" s="16">
        <v>4</v>
      </c>
      <c r="E233" s="16">
        <v>8</v>
      </c>
      <c r="F233" s="100">
        <f t="shared" si="33"/>
        <v>0.5</v>
      </c>
      <c r="G233" s="16">
        <v>2</v>
      </c>
      <c r="H233" s="16">
        <v>5</v>
      </c>
      <c r="I233" s="100">
        <f t="shared" si="34"/>
        <v>0.4</v>
      </c>
      <c r="J233" s="16">
        <v>1</v>
      </c>
      <c r="K233" s="16">
        <v>1</v>
      </c>
      <c r="L233" s="100">
        <f t="shared" si="35"/>
        <v>1</v>
      </c>
      <c r="M233" s="16">
        <v>1</v>
      </c>
      <c r="N233" s="16">
        <v>2</v>
      </c>
      <c r="O233" s="16">
        <v>0</v>
      </c>
      <c r="P233" s="16">
        <v>3</v>
      </c>
      <c r="Q233" s="16">
        <v>0</v>
      </c>
      <c r="R233" s="16">
        <v>11</v>
      </c>
    </row>
    <row r="234" spans="1:18" x14ac:dyDescent="0.25">
      <c r="A234" s="71">
        <v>42251</v>
      </c>
      <c r="B234" s="20"/>
      <c r="C234" s="15" t="s">
        <v>102</v>
      </c>
      <c r="D234" s="16">
        <v>5</v>
      </c>
      <c r="E234" s="16">
        <v>13</v>
      </c>
      <c r="F234" s="100">
        <f t="shared" si="33"/>
        <v>0.38461538461538464</v>
      </c>
      <c r="G234" s="16">
        <v>3</v>
      </c>
      <c r="H234" s="16">
        <v>9</v>
      </c>
      <c r="I234" s="100">
        <f t="shared" si="34"/>
        <v>0.33333333333333331</v>
      </c>
      <c r="J234" s="16">
        <v>0</v>
      </c>
      <c r="K234" s="16">
        <v>0</v>
      </c>
      <c r="L234" s="100">
        <f t="shared" si="35"/>
        <v>0</v>
      </c>
      <c r="M234" s="16">
        <v>3</v>
      </c>
      <c r="N234" s="16">
        <v>7</v>
      </c>
      <c r="O234" s="16">
        <v>1</v>
      </c>
      <c r="P234" s="16">
        <v>4</v>
      </c>
      <c r="Q234" s="16">
        <v>0</v>
      </c>
      <c r="R234" s="16">
        <v>13</v>
      </c>
    </row>
    <row r="235" spans="1:18" x14ac:dyDescent="0.25">
      <c r="A235" s="71">
        <v>42251</v>
      </c>
      <c r="B235" s="20"/>
      <c r="C235" s="15" t="s">
        <v>32</v>
      </c>
      <c r="D235" s="16">
        <v>0</v>
      </c>
      <c r="E235" s="16">
        <v>1</v>
      </c>
      <c r="F235" s="100">
        <f t="shared" si="33"/>
        <v>0</v>
      </c>
      <c r="G235" s="16">
        <v>0</v>
      </c>
      <c r="H235" s="16">
        <v>0</v>
      </c>
      <c r="I235" s="100">
        <f t="shared" si="34"/>
        <v>0</v>
      </c>
      <c r="J235" s="16">
        <v>0</v>
      </c>
      <c r="K235" s="16">
        <v>0</v>
      </c>
      <c r="L235" s="100">
        <f t="shared" si="35"/>
        <v>0</v>
      </c>
      <c r="M235" s="16">
        <v>7</v>
      </c>
      <c r="N235" s="16">
        <v>2</v>
      </c>
      <c r="O235" s="16">
        <v>0</v>
      </c>
      <c r="P235" s="16">
        <v>0</v>
      </c>
      <c r="Q235" s="16">
        <v>0</v>
      </c>
      <c r="R235" s="16">
        <v>0</v>
      </c>
    </row>
    <row r="236" spans="1:18" x14ac:dyDescent="0.25">
      <c r="A236" s="71">
        <v>42252</v>
      </c>
      <c r="B236" s="20"/>
      <c r="C236" s="15" t="s">
        <v>34</v>
      </c>
      <c r="D236" s="16">
        <v>1</v>
      </c>
      <c r="E236" s="16">
        <v>3</v>
      </c>
      <c r="F236" s="101">
        <f t="shared" si="33"/>
        <v>0.33333333333333331</v>
      </c>
      <c r="G236" s="16">
        <v>1</v>
      </c>
      <c r="H236" s="16">
        <v>3</v>
      </c>
      <c r="I236" s="101">
        <f t="shared" si="34"/>
        <v>0.33333333333333331</v>
      </c>
      <c r="J236" s="16">
        <v>0</v>
      </c>
      <c r="K236" s="16">
        <v>0</v>
      </c>
      <c r="L236" s="101">
        <f t="shared" si="35"/>
        <v>0</v>
      </c>
      <c r="M236" s="16">
        <v>1</v>
      </c>
      <c r="N236" s="16">
        <v>3</v>
      </c>
      <c r="O236" s="16">
        <v>2</v>
      </c>
      <c r="P236" s="16">
        <v>2</v>
      </c>
      <c r="Q236" s="16">
        <v>1</v>
      </c>
      <c r="R236" s="16">
        <v>3</v>
      </c>
    </row>
    <row r="237" spans="1:18" x14ac:dyDescent="0.25">
      <c r="A237" s="71">
        <v>42252</v>
      </c>
      <c r="B237" s="20"/>
      <c r="C237" s="15" t="s">
        <v>32</v>
      </c>
      <c r="D237" s="16">
        <v>0</v>
      </c>
      <c r="E237" s="16">
        <v>1</v>
      </c>
      <c r="F237" s="101">
        <f t="shared" si="33"/>
        <v>0</v>
      </c>
      <c r="G237" s="16">
        <v>0</v>
      </c>
      <c r="H237" s="16">
        <v>0</v>
      </c>
      <c r="I237" s="101">
        <f t="shared" si="34"/>
        <v>0</v>
      </c>
      <c r="J237" s="16">
        <v>2</v>
      </c>
      <c r="K237" s="16">
        <v>4</v>
      </c>
      <c r="L237" s="101">
        <f t="shared" si="35"/>
        <v>0.5</v>
      </c>
      <c r="M237" s="16">
        <v>3</v>
      </c>
      <c r="N237" s="16">
        <v>2</v>
      </c>
      <c r="O237" s="16">
        <v>1</v>
      </c>
      <c r="P237" s="16">
        <v>0</v>
      </c>
      <c r="Q237" s="16">
        <v>0</v>
      </c>
      <c r="R237" s="16">
        <v>2</v>
      </c>
    </row>
    <row r="238" spans="1:18" x14ac:dyDescent="0.25">
      <c r="A238" s="71">
        <v>42252</v>
      </c>
      <c r="B238" s="20"/>
      <c r="C238" s="15" t="s">
        <v>130</v>
      </c>
      <c r="D238" s="16">
        <v>2</v>
      </c>
      <c r="E238" s="16">
        <v>7</v>
      </c>
      <c r="F238" s="101">
        <f t="shared" si="33"/>
        <v>0.2857142857142857</v>
      </c>
      <c r="G238" s="16">
        <v>0</v>
      </c>
      <c r="H238" s="16">
        <v>2</v>
      </c>
      <c r="I238" s="101">
        <f t="shared" si="34"/>
        <v>0</v>
      </c>
      <c r="J238" s="16">
        <v>3</v>
      </c>
      <c r="K238" s="16">
        <v>6</v>
      </c>
      <c r="L238" s="101">
        <f t="shared" si="35"/>
        <v>0.5</v>
      </c>
      <c r="M238" s="16">
        <v>0</v>
      </c>
      <c r="N238" s="16">
        <v>2</v>
      </c>
      <c r="O238" s="16">
        <v>4</v>
      </c>
      <c r="P238" s="16">
        <v>2</v>
      </c>
      <c r="Q238" s="16">
        <v>0</v>
      </c>
      <c r="R238" s="16">
        <v>7</v>
      </c>
    </row>
    <row r="239" spans="1:18" x14ac:dyDescent="0.25">
      <c r="A239" s="71">
        <v>42253</v>
      </c>
      <c r="B239" s="20"/>
      <c r="C239" s="15" t="s">
        <v>146</v>
      </c>
      <c r="D239" s="16">
        <v>0</v>
      </c>
      <c r="E239" s="16">
        <v>1</v>
      </c>
      <c r="F239" s="101">
        <f t="shared" si="33"/>
        <v>0</v>
      </c>
      <c r="G239" s="16">
        <v>0</v>
      </c>
      <c r="H239" s="16">
        <v>0</v>
      </c>
      <c r="I239" s="101">
        <f t="shared" si="34"/>
        <v>0</v>
      </c>
      <c r="J239" s="16">
        <v>0</v>
      </c>
      <c r="K239" s="16">
        <v>0</v>
      </c>
      <c r="L239" s="101">
        <f t="shared" si="35"/>
        <v>0</v>
      </c>
      <c r="M239" s="16">
        <v>9</v>
      </c>
      <c r="N239" s="16">
        <v>0</v>
      </c>
      <c r="O239" s="16">
        <v>2</v>
      </c>
      <c r="P239" s="16">
        <v>1</v>
      </c>
      <c r="Q239" s="16">
        <v>3</v>
      </c>
      <c r="R239" s="16">
        <v>0</v>
      </c>
    </row>
    <row r="240" spans="1:18" x14ac:dyDescent="0.25">
      <c r="A240" s="71">
        <v>42253</v>
      </c>
      <c r="B240" s="20"/>
      <c r="C240" s="15" t="s">
        <v>124</v>
      </c>
      <c r="D240" s="16">
        <v>3</v>
      </c>
      <c r="E240" s="16">
        <v>8</v>
      </c>
      <c r="F240" s="101">
        <f t="shared" si="33"/>
        <v>0.375</v>
      </c>
      <c r="G240" s="16">
        <v>1</v>
      </c>
      <c r="H240" s="16">
        <v>2</v>
      </c>
      <c r="I240" s="101">
        <f t="shared" si="34"/>
        <v>0.5</v>
      </c>
      <c r="J240" s="16">
        <v>0</v>
      </c>
      <c r="K240" s="16">
        <v>0</v>
      </c>
      <c r="L240" s="101">
        <f t="shared" si="35"/>
        <v>0</v>
      </c>
      <c r="M240" s="16">
        <v>1</v>
      </c>
      <c r="N240" s="16">
        <v>6</v>
      </c>
      <c r="O240" s="16">
        <v>0</v>
      </c>
      <c r="P240" s="16">
        <v>1</v>
      </c>
      <c r="Q240" s="16">
        <v>0</v>
      </c>
      <c r="R240" s="16">
        <v>7</v>
      </c>
    </row>
    <row r="241" spans="1:18" x14ac:dyDescent="0.25">
      <c r="A241" s="71">
        <v>42253</v>
      </c>
      <c r="B241" s="20"/>
      <c r="C241" s="15" t="s">
        <v>106</v>
      </c>
      <c r="D241" s="16">
        <v>2</v>
      </c>
      <c r="E241" s="16">
        <v>6</v>
      </c>
      <c r="F241" s="101">
        <f t="shared" si="33"/>
        <v>0.33333333333333331</v>
      </c>
      <c r="G241" s="16">
        <v>0</v>
      </c>
      <c r="H241" s="16">
        <v>3</v>
      </c>
      <c r="I241" s="101">
        <f t="shared" si="34"/>
        <v>0</v>
      </c>
      <c r="J241" s="16">
        <v>0</v>
      </c>
      <c r="K241" s="16">
        <v>0</v>
      </c>
      <c r="L241" s="101">
        <f t="shared" si="35"/>
        <v>0</v>
      </c>
      <c r="M241" s="16">
        <v>3</v>
      </c>
      <c r="N241" s="16">
        <v>1</v>
      </c>
      <c r="O241" s="16">
        <v>1</v>
      </c>
      <c r="P241" s="16">
        <v>3</v>
      </c>
      <c r="Q241" s="16">
        <v>0</v>
      </c>
      <c r="R241" s="16">
        <v>4</v>
      </c>
    </row>
    <row r="242" spans="1:18" x14ac:dyDescent="0.25">
      <c r="A242" s="71">
        <v>42253</v>
      </c>
      <c r="B242" s="20"/>
      <c r="C242" s="15" t="s">
        <v>100</v>
      </c>
      <c r="D242" s="16">
        <v>0</v>
      </c>
      <c r="E242" s="16">
        <v>1</v>
      </c>
      <c r="F242" s="101">
        <f t="shared" si="33"/>
        <v>0</v>
      </c>
      <c r="G242" s="16">
        <v>0</v>
      </c>
      <c r="H242" s="16">
        <v>0</v>
      </c>
      <c r="I242" s="101">
        <f t="shared" si="34"/>
        <v>0</v>
      </c>
      <c r="J242" s="16">
        <v>0</v>
      </c>
      <c r="K242" s="16">
        <v>0</v>
      </c>
      <c r="L242" s="101">
        <f t="shared" si="35"/>
        <v>0</v>
      </c>
      <c r="M242" s="16">
        <v>4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</row>
    <row r="243" spans="1:18" x14ac:dyDescent="0.25">
      <c r="A243" s="71">
        <v>42253</v>
      </c>
      <c r="B243" s="20"/>
      <c r="C243" s="15" t="s">
        <v>29</v>
      </c>
      <c r="D243" s="16">
        <v>9</v>
      </c>
      <c r="E243" s="16">
        <v>19</v>
      </c>
      <c r="F243" s="101">
        <f t="shared" si="33"/>
        <v>0.47368421052631576</v>
      </c>
      <c r="G243" s="16">
        <v>2</v>
      </c>
      <c r="H243" s="16">
        <v>5</v>
      </c>
      <c r="I243" s="101">
        <f t="shared" si="34"/>
        <v>0.4</v>
      </c>
      <c r="J243" s="16">
        <v>3</v>
      </c>
      <c r="K243" s="16">
        <v>3</v>
      </c>
      <c r="L243" s="101">
        <f t="shared" si="35"/>
        <v>1</v>
      </c>
      <c r="M243" s="16">
        <v>5</v>
      </c>
      <c r="N243" s="16">
        <v>2</v>
      </c>
      <c r="O243" s="16">
        <v>2</v>
      </c>
      <c r="P243" s="16">
        <v>4</v>
      </c>
      <c r="Q243" s="16">
        <v>1</v>
      </c>
      <c r="R243" s="16">
        <v>23</v>
      </c>
    </row>
    <row r="244" spans="1:18" x14ac:dyDescent="0.25">
      <c r="A244" s="71">
        <v>42253</v>
      </c>
      <c r="B244" s="20"/>
      <c r="C244" s="15" t="s">
        <v>102</v>
      </c>
      <c r="D244" s="16">
        <v>5</v>
      </c>
      <c r="E244" s="16">
        <v>10</v>
      </c>
      <c r="F244" s="101">
        <f t="shared" si="33"/>
        <v>0.5</v>
      </c>
      <c r="G244" s="16">
        <v>2</v>
      </c>
      <c r="H244" s="16">
        <v>4</v>
      </c>
      <c r="I244" s="101">
        <f t="shared" si="34"/>
        <v>0.5</v>
      </c>
      <c r="J244" s="16">
        <v>2</v>
      </c>
      <c r="K244" s="16">
        <v>4</v>
      </c>
      <c r="L244" s="101">
        <f t="shared" si="35"/>
        <v>0.5</v>
      </c>
      <c r="M244" s="16">
        <v>2</v>
      </c>
      <c r="N244" s="16">
        <v>7</v>
      </c>
      <c r="O244" s="16">
        <v>2</v>
      </c>
      <c r="P244" s="16">
        <v>2</v>
      </c>
      <c r="Q244" s="16">
        <v>0</v>
      </c>
      <c r="R244" s="16">
        <v>14</v>
      </c>
    </row>
    <row r="245" spans="1:18" x14ac:dyDescent="0.25">
      <c r="A245" s="21">
        <v>42255</v>
      </c>
      <c r="B245" s="20"/>
      <c r="C245" s="15" t="s">
        <v>29</v>
      </c>
      <c r="D245" s="16">
        <v>9</v>
      </c>
      <c r="E245" s="16">
        <v>16</v>
      </c>
      <c r="F245" s="109">
        <f t="shared" ref="F245:F250" si="36">IF(E245=0,0,D245/E245)</f>
        <v>0.5625</v>
      </c>
      <c r="G245" s="16">
        <v>0</v>
      </c>
      <c r="H245" s="16">
        <v>3</v>
      </c>
      <c r="I245" s="109">
        <f t="shared" ref="I245:I250" si="37">IF(H245=0,0,G245/H245)</f>
        <v>0</v>
      </c>
      <c r="J245" s="16">
        <v>2</v>
      </c>
      <c r="K245" s="16">
        <v>2</v>
      </c>
      <c r="L245" s="109">
        <f t="shared" ref="L245:L250" si="38">IF(K245=0,0,J245/K245)</f>
        <v>1</v>
      </c>
      <c r="M245" s="16">
        <v>7</v>
      </c>
      <c r="N245" s="16">
        <v>5</v>
      </c>
      <c r="O245" s="16">
        <v>1</v>
      </c>
      <c r="P245" s="16">
        <v>3</v>
      </c>
      <c r="Q245" s="16">
        <v>0</v>
      </c>
      <c r="R245" s="16">
        <v>20</v>
      </c>
    </row>
    <row r="246" spans="1:18" x14ac:dyDescent="0.25">
      <c r="A246" s="21">
        <v>42255</v>
      </c>
      <c r="B246" s="20"/>
      <c r="C246" s="15" t="s">
        <v>102</v>
      </c>
      <c r="D246" s="16">
        <v>3</v>
      </c>
      <c r="E246" s="16">
        <v>13</v>
      </c>
      <c r="F246" s="109">
        <f t="shared" si="36"/>
        <v>0.23076923076923078</v>
      </c>
      <c r="G246" s="16">
        <v>0</v>
      </c>
      <c r="H246" s="16">
        <v>5</v>
      </c>
      <c r="I246" s="109">
        <f t="shared" si="37"/>
        <v>0</v>
      </c>
      <c r="J246" s="16">
        <v>0</v>
      </c>
      <c r="K246" s="16">
        <v>0</v>
      </c>
      <c r="L246" s="109">
        <f t="shared" si="38"/>
        <v>0</v>
      </c>
      <c r="M246" s="16">
        <v>1</v>
      </c>
      <c r="N246" s="16">
        <v>2</v>
      </c>
      <c r="O246" s="16">
        <v>1</v>
      </c>
      <c r="P246" s="16">
        <v>0</v>
      </c>
      <c r="Q246" s="16">
        <v>0</v>
      </c>
      <c r="R246" s="16">
        <v>6</v>
      </c>
    </row>
    <row r="247" spans="1:18" x14ac:dyDescent="0.25">
      <c r="A247" s="21">
        <v>42255</v>
      </c>
      <c r="B247" s="20"/>
      <c r="C247" s="15" t="s">
        <v>146</v>
      </c>
      <c r="D247" s="16">
        <v>6</v>
      </c>
      <c r="E247" s="16">
        <v>8</v>
      </c>
      <c r="F247" s="109">
        <f t="shared" si="36"/>
        <v>0.75</v>
      </c>
      <c r="G247" s="16">
        <v>0</v>
      </c>
      <c r="H247" s="16">
        <v>0</v>
      </c>
      <c r="I247" s="109">
        <f t="shared" si="37"/>
        <v>0</v>
      </c>
      <c r="J247" s="16">
        <v>1</v>
      </c>
      <c r="K247" s="16">
        <v>2</v>
      </c>
      <c r="L247" s="109">
        <f t="shared" si="38"/>
        <v>0.5</v>
      </c>
      <c r="M247" s="16">
        <v>12</v>
      </c>
      <c r="N247" s="16">
        <v>0</v>
      </c>
      <c r="O247" s="16">
        <v>0</v>
      </c>
      <c r="P247" s="16">
        <v>0</v>
      </c>
      <c r="Q247" s="16">
        <v>1</v>
      </c>
      <c r="R247" s="16">
        <v>13</v>
      </c>
    </row>
    <row r="248" spans="1:18" x14ac:dyDescent="0.25">
      <c r="A248" s="21">
        <v>42255</v>
      </c>
      <c r="B248" s="20"/>
      <c r="C248" s="15" t="s">
        <v>106</v>
      </c>
      <c r="D248" s="16">
        <v>5</v>
      </c>
      <c r="E248" s="16">
        <v>6</v>
      </c>
      <c r="F248" s="109">
        <f t="shared" si="36"/>
        <v>0.83333333333333337</v>
      </c>
      <c r="G248" s="16">
        <v>2</v>
      </c>
      <c r="H248" s="16">
        <v>3</v>
      </c>
      <c r="I248" s="109">
        <f t="shared" si="37"/>
        <v>0.66666666666666663</v>
      </c>
      <c r="J248" s="16">
        <v>0</v>
      </c>
      <c r="K248" s="16">
        <v>0</v>
      </c>
      <c r="L248" s="109">
        <f t="shared" si="38"/>
        <v>0</v>
      </c>
      <c r="M248" s="16">
        <v>6</v>
      </c>
      <c r="N248" s="16">
        <v>1</v>
      </c>
      <c r="O248" s="16">
        <v>3</v>
      </c>
      <c r="P248" s="16">
        <v>4</v>
      </c>
      <c r="Q248" s="16">
        <v>0</v>
      </c>
      <c r="R248" s="16">
        <v>12</v>
      </c>
    </row>
    <row r="249" spans="1:18" x14ac:dyDescent="0.25">
      <c r="A249" s="21">
        <v>42256</v>
      </c>
      <c r="B249" s="20"/>
      <c r="C249" s="15" t="s">
        <v>124</v>
      </c>
      <c r="D249" s="16">
        <v>1</v>
      </c>
      <c r="E249" s="16">
        <v>6</v>
      </c>
      <c r="F249" s="109">
        <f t="shared" si="36"/>
        <v>0.16666666666666666</v>
      </c>
      <c r="G249" s="16">
        <v>0</v>
      </c>
      <c r="H249" s="16">
        <v>2</v>
      </c>
      <c r="I249" s="109">
        <f t="shared" si="37"/>
        <v>0</v>
      </c>
      <c r="J249" s="16">
        <v>0</v>
      </c>
      <c r="K249" s="16">
        <v>0</v>
      </c>
      <c r="L249" s="109">
        <f t="shared" si="38"/>
        <v>0</v>
      </c>
      <c r="M249" s="16">
        <v>2</v>
      </c>
      <c r="N249" s="16">
        <v>1</v>
      </c>
      <c r="O249" s="16">
        <v>0</v>
      </c>
      <c r="P249" s="16">
        <v>1</v>
      </c>
      <c r="Q249" s="16">
        <v>0</v>
      </c>
      <c r="R249" s="16">
        <v>2</v>
      </c>
    </row>
    <row r="250" spans="1:18" x14ac:dyDescent="0.25">
      <c r="A250" s="21">
        <v>42256</v>
      </c>
      <c r="B250" s="20"/>
      <c r="C250" s="15" t="s">
        <v>100</v>
      </c>
      <c r="D250" s="16">
        <v>3</v>
      </c>
      <c r="E250" s="16">
        <v>5</v>
      </c>
      <c r="F250" s="109">
        <f t="shared" si="36"/>
        <v>0.6</v>
      </c>
      <c r="G250" s="16">
        <v>0</v>
      </c>
      <c r="H250" s="16">
        <v>0</v>
      </c>
      <c r="I250" s="109">
        <f t="shared" si="37"/>
        <v>0</v>
      </c>
      <c r="J250" s="16">
        <v>0</v>
      </c>
      <c r="K250" s="16">
        <v>0</v>
      </c>
      <c r="L250" s="109">
        <f t="shared" si="38"/>
        <v>0</v>
      </c>
      <c r="M250" s="16">
        <v>10</v>
      </c>
      <c r="N250" s="16">
        <v>0</v>
      </c>
      <c r="O250" s="16">
        <v>0</v>
      </c>
      <c r="P250" s="16">
        <v>0</v>
      </c>
      <c r="Q250" s="16">
        <v>0</v>
      </c>
      <c r="R250" s="16">
        <v>6</v>
      </c>
    </row>
    <row r="251" spans="1:18" x14ac:dyDescent="0.25">
      <c r="A251" s="21">
        <v>42258</v>
      </c>
      <c r="B251" s="20"/>
      <c r="C251" s="15" t="s">
        <v>146</v>
      </c>
      <c r="D251" s="16">
        <v>2</v>
      </c>
      <c r="E251" s="16">
        <v>6</v>
      </c>
      <c r="F251" s="121">
        <f t="shared" ref="F251:F261" si="39">IF(E251=0,0,D251/E251)</f>
        <v>0.33333333333333331</v>
      </c>
      <c r="G251" s="16">
        <v>0</v>
      </c>
      <c r="H251" s="16">
        <v>0</v>
      </c>
      <c r="I251" s="121">
        <f t="shared" ref="I251:I261" si="40">IF(H251=0,0,G251/H251)</f>
        <v>0</v>
      </c>
      <c r="J251" s="16">
        <v>0</v>
      </c>
      <c r="K251" s="16">
        <v>0</v>
      </c>
      <c r="L251" s="121">
        <f t="shared" ref="L251:L261" si="41">IF(K251=0,0,J251/K251)</f>
        <v>0</v>
      </c>
      <c r="M251" s="16">
        <v>5</v>
      </c>
      <c r="N251" s="16">
        <v>0</v>
      </c>
      <c r="O251" s="16">
        <v>0</v>
      </c>
      <c r="P251" s="16">
        <v>0</v>
      </c>
      <c r="Q251" s="16">
        <v>0</v>
      </c>
      <c r="R251" s="16">
        <v>4</v>
      </c>
    </row>
    <row r="252" spans="1:18" x14ac:dyDescent="0.25">
      <c r="A252" s="21">
        <v>42258</v>
      </c>
      <c r="B252" s="20"/>
      <c r="C252" s="15" t="s">
        <v>100</v>
      </c>
      <c r="D252" s="16">
        <v>1</v>
      </c>
      <c r="E252" s="16">
        <v>1</v>
      </c>
      <c r="F252" s="121">
        <f t="shared" si="39"/>
        <v>1</v>
      </c>
      <c r="G252" s="16">
        <v>0</v>
      </c>
      <c r="H252" s="16">
        <v>0</v>
      </c>
      <c r="I252" s="121">
        <f t="shared" si="40"/>
        <v>0</v>
      </c>
      <c r="J252" s="16">
        <v>2</v>
      </c>
      <c r="K252" s="16">
        <v>2</v>
      </c>
      <c r="L252" s="121">
        <f t="shared" si="41"/>
        <v>1</v>
      </c>
      <c r="M252" s="16">
        <v>5</v>
      </c>
      <c r="N252" s="16">
        <v>1</v>
      </c>
      <c r="O252" s="16">
        <v>0</v>
      </c>
      <c r="P252" s="16">
        <v>3</v>
      </c>
      <c r="Q252" s="16">
        <v>0</v>
      </c>
      <c r="R252" s="16">
        <v>4</v>
      </c>
    </row>
    <row r="253" spans="1:18" x14ac:dyDescent="0.25">
      <c r="A253" s="21">
        <v>42258</v>
      </c>
      <c r="B253" s="20"/>
      <c r="C253" s="15" t="s">
        <v>124</v>
      </c>
      <c r="D253" s="16">
        <v>2</v>
      </c>
      <c r="E253" s="16">
        <v>9</v>
      </c>
      <c r="F253" s="121">
        <f t="shared" si="39"/>
        <v>0.22222222222222221</v>
      </c>
      <c r="G253" s="16">
        <v>0</v>
      </c>
      <c r="H253" s="16">
        <v>2</v>
      </c>
      <c r="I253" s="121">
        <f t="shared" si="40"/>
        <v>0</v>
      </c>
      <c r="J253" s="16">
        <v>0</v>
      </c>
      <c r="K253" s="16">
        <v>0</v>
      </c>
      <c r="L253" s="121">
        <f t="shared" si="41"/>
        <v>0</v>
      </c>
      <c r="M253" s="16">
        <v>1</v>
      </c>
      <c r="N253" s="16">
        <v>1</v>
      </c>
      <c r="O253" s="16">
        <v>1</v>
      </c>
      <c r="P253" s="16">
        <v>5</v>
      </c>
      <c r="Q253" s="16">
        <v>0</v>
      </c>
      <c r="R253" s="16">
        <v>4</v>
      </c>
    </row>
    <row r="254" spans="1:18" x14ac:dyDescent="0.25">
      <c r="A254" s="21">
        <v>42258</v>
      </c>
      <c r="B254" s="20"/>
      <c r="C254" s="15" t="s">
        <v>34</v>
      </c>
      <c r="D254" s="16">
        <v>0</v>
      </c>
      <c r="E254" s="16">
        <v>2</v>
      </c>
      <c r="F254" s="121">
        <f t="shared" si="39"/>
        <v>0</v>
      </c>
      <c r="G254" s="16">
        <v>0</v>
      </c>
      <c r="H254" s="16">
        <v>1</v>
      </c>
      <c r="I254" s="121">
        <f t="shared" si="40"/>
        <v>0</v>
      </c>
      <c r="J254" s="16">
        <v>0</v>
      </c>
      <c r="K254" s="16">
        <v>0</v>
      </c>
      <c r="L254" s="121">
        <f t="shared" si="41"/>
        <v>0</v>
      </c>
      <c r="M254" s="16">
        <v>3</v>
      </c>
      <c r="N254" s="16">
        <v>1</v>
      </c>
      <c r="O254" s="16">
        <v>0</v>
      </c>
      <c r="P254" s="16">
        <v>2</v>
      </c>
      <c r="Q254" s="16">
        <v>0</v>
      </c>
      <c r="R254" s="16">
        <v>0</v>
      </c>
    </row>
    <row r="255" spans="1:18" x14ac:dyDescent="0.25">
      <c r="A255" s="21">
        <v>42258</v>
      </c>
      <c r="B255" s="20"/>
      <c r="C255" s="15" t="s">
        <v>106</v>
      </c>
      <c r="D255" s="16">
        <v>4</v>
      </c>
      <c r="E255" s="16">
        <v>5</v>
      </c>
      <c r="F255" s="121">
        <f t="shared" si="39"/>
        <v>0.8</v>
      </c>
      <c r="G255" s="16">
        <v>1</v>
      </c>
      <c r="H255" s="16">
        <v>2</v>
      </c>
      <c r="I255" s="121">
        <f t="shared" si="40"/>
        <v>0.5</v>
      </c>
      <c r="J255" s="16">
        <v>0</v>
      </c>
      <c r="K255" s="16">
        <v>1</v>
      </c>
      <c r="L255" s="121">
        <f t="shared" si="41"/>
        <v>0</v>
      </c>
      <c r="M255" s="16">
        <v>3</v>
      </c>
      <c r="N255" s="16">
        <v>0</v>
      </c>
      <c r="O255" s="16">
        <v>0</v>
      </c>
      <c r="P255" s="16">
        <v>1</v>
      </c>
      <c r="Q255" s="16">
        <v>0</v>
      </c>
      <c r="R255" s="16">
        <v>9</v>
      </c>
    </row>
    <row r="256" spans="1:18" x14ac:dyDescent="0.25">
      <c r="A256" s="21">
        <v>42258</v>
      </c>
      <c r="B256" s="20"/>
      <c r="C256" s="15" t="s">
        <v>102</v>
      </c>
      <c r="D256" s="16">
        <v>5</v>
      </c>
      <c r="E256" s="16">
        <v>14</v>
      </c>
      <c r="F256" s="121">
        <f t="shared" si="39"/>
        <v>0.35714285714285715</v>
      </c>
      <c r="G256" s="16">
        <v>3</v>
      </c>
      <c r="H256" s="16">
        <v>9</v>
      </c>
      <c r="I256" s="121">
        <f t="shared" si="40"/>
        <v>0.33333333333333331</v>
      </c>
      <c r="J256" s="16">
        <v>0</v>
      </c>
      <c r="K256" s="16">
        <v>0</v>
      </c>
      <c r="L256" s="121">
        <f t="shared" si="41"/>
        <v>0</v>
      </c>
      <c r="M256" s="16">
        <v>2</v>
      </c>
      <c r="N256" s="16">
        <v>4</v>
      </c>
      <c r="O256" s="16">
        <v>0</v>
      </c>
      <c r="P256" s="16">
        <v>1</v>
      </c>
      <c r="Q256" s="16">
        <v>0</v>
      </c>
      <c r="R256" s="16">
        <v>13</v>
      </c>
    </row>
    <row r="257" spans="1:18" x14ac:dyDescent="0.25">
      <c r="A257" s="73">
        <v>42260</v>
      </c>
      <c r="B257" s="20"/>
      <c r="C257" s="15" t="s">
        <v>100</v>
      </c>
      <c r="D257" s="16">
        <v>3</v>
      </c>
      <c r="E257" s="16">
        <v>4</v>
      </c>
      <c r="F257" s="121">
        <f t="shared" si="39"/>
        <v>0.75</v>
      </c>
      <c r="G257" s="16">
        <v>0</v>
      </c>
      <c r="H257" s="16">
        <v>0</v>
      </c>
      <c r="I257" s="121">
        <f t="shared" si="40"/>
        <v>0</v>
      </c>
      <c r="J257" s="16">
        <v>2</v>
      </c>
      <c r="K257" s="16">
        <v>2</v>
      </c>
      <c r="L257" s="121">
        <f t="shared" si="41"/>
        <v>1</v>
      </c>
      <c r="M257" s="16">
        <v>6</v>
      </c>
      <c r="N257" s="16">
        <v>2</v>
      </c>
      <c r="O257" s="16">
        <v>0</v>
      </c>
      <c r="P257" s="16">
        <v>0</v>
      </c>
      <c r="Q257" s="16">
        <v>0</v>
      </c>
      <c r="R257" s="16">
        <v>8</v>
      </c>
    </row>
    <row r="258" spans="1:18" x14ac:dyDescent="0.25">
      <c r="A258" s="73">
        <v>42260</v>
      </c>
      <c r="B258" s="20"/>
      <c r="C258" s="15" t="s">
        <v>146</v>
      </c>
      <c r="D258" s="16">
        <v>3</v>
      </c>
      <c r="E258" s="16">
        <v>6</v>
      </c>
      <c r="F258" s="121">
        <f t="shared" si="39"/>
        <v>0.5</v>
      </c>
      <c r="G258" s="16">
        <v>0</v>
      </c>
      <c r="H258" s="16">
        <v>0</v>
      </c>
      <c r="I258" s="121">
        <f t="shared" si="40"/>
        <v>0</v>
      </c>
      <c r="J258" s="16">
        <v>2</v>
      </c>
      <c r="K258" s="16">
        <v>2</v>
      </c>
      <c r="L258" s="121">
        <f t="shared" si="41"/>
        <v>1</v>
      </c>
      <c r="M258" s="16">
        <v>5</v>
      </c>
      <c r="N258" s="16">
        <v>1</v>
      </c>
      <c r="O258" s="16">
        <v>0</v>
      </c>
      <c r="P258" s="16">
        <v>1</v>
      </c>
      <c r="Q258" s="16">
        <v>0</v>
      </c>
      <c r="R258" s="16">
        <v>8</v>
      </c>
    </row>
    <row r="259" spans="1:18" x14ac:dyDescent="0.25">
      <c r="A259" s="73">
        <v>42260</v>
      </c>
      <c r="B259" s="20"/>
      <c r="C259" s="15" t="s">
        <v>54</v>
      </c>
      <c r="D259" s="16">
        <v>4</v>
      </c>
      <c r="E259" s="16">
        <v>7</v>
      </c>
      <c r="F259" s="121">
        <f t="shared" si="39"/>
        <v>0.5714285714285714</v>
      </c>
      <c r="G259" s="16">
        <v>2</v>
      </c>
      <c r="H259" s="16">
        <v>3</v>
      </c>
      <c r="I259" s="121">
        <f t="shared" si="40"/>
        <v>0.66666666666666663</v>
      </c>
      <c r="J259" s="16">
        <v>2</v>
      </c>
      <c r="K259" s="16">
        <v>4</v>
      </c>
      <c r="L259" s="121">
        <f t="shared" si="41"/>
        <v>0.5</v>
      </c>
      <c r="M259" s="16">
        <v>2</v>
      </c>
      <c r="N259" s="16">
        <v>0</v>
      </c>
      <c r="O259" s="16">
        <v>0</v>
      </c>
      <c r="P259" s="16">
        <v>2</v>
      </c>
      <c r="Q259" s="16">
        <v>0</v>
      </c>
      <c r="R259" s="16">
        <v>12</v>
      </c>
    </row>
    <row r="260" spans="1:18" x14ac:dyDescent="0.25">
      <c r="A260" s="73">
        <v>42260</v>
      </c>
      <c r="B260" s="20"/>
      <c r="C260" s="15" t="s">
        <v>34</v>
      </c>
      <c r="D260" s="16">
        <v>2</v>
      </c>
      <c r="E260" s="16">
        <v>3</v>
      </c>
      <c r="F260" s="121">
        <f t="shared" si="39"/>
        <v>0.66666666666666663</v>
      </c>
      <c r="G260" s="16">
        <v>0</v>
      </c>
      <c r="H260" s="16">
        <v>0</v>
      </c>
      <c r="I260" s="121">
        <f t="shared" si="40"/>
        <v>0</v>
      </c>
      <c r="J260" s="16">
        <v>0</v>
      </c>
      <c r="K260" s="16">
        <v>0</v>
      </c>
      <c r="L260" s="121">
        <f t="shared" si="41"/>
        <v>0</v>
      </c>
      <c r="M260" s="16">
        <v>1</v>
      </c>
      <c r="N260" s="16">
        <v>1</v>
      </c>
      <c r="O260" s="16">
        <v>0</v>
      </c>
      <c r="P260" s="16">
        <v>1</v>
      </c>
      <c r="Q260" s="16">
        <v>0</v>
      </c>
      <c r="R260" s="16">
        <v>4</v>
      </c>
    </row>
    <row r="261" spans="1:18" x14ac:dyDescent="0.25">
      <c r="A261" s="73">
        <v>42260</v>
      </c>
      <c r="B261" s="20"/>
      <c r="C261" s="15" t="s">
        <v>106</v>
      </c>
      <c r="D261" s="16">
        <v>0</v>
      </c>
      <c r="E261" s="16">
        <v>2</v>
      </c>
      <c r="F261" s="121">
        <f t="shared" si="39"/>
        <v>0</v>
      </c>
      <c r="G261" s="16">
        <v>0</v>
      </c>
      <c r="H261" s="16">
        <v>1</v>
      </c>
      <c r="I261" s="121">
        <f t="shared" si="40"/>
        <v>0</v>
      </c>
      <c r="J261" s="16">
        <v>0</v>
      </c>
      <c r="K261" s="16">
        <v>0</v>
      </c>
      <c r="L261" s="121">
        <f t="shared" si="41"/>
        <v>0</v>
      </c>
      <c r="M261" s="16">
        <v>3</v>
      </c>
      <c r="N261" s="16">
        <v>0</v>
      </c>
      <c r="O261" s="16">
        <v>0</v>
      </c>
      <c r="P261" s="16">
        <v>1</v>
      </c>
      <c r="Q261" s="16">
        <v>0</v>
      </c>
      <c r="R261" s="16">
        <v>0</v>
      </c>
    </row>
    <row r="262" spans="1:18" x14ac:dyDescent="0.25">
      <c r="C262" s="4"/>
    </row>
    <row r="263" spans="1:18" x14ac:dyDescent="0.25">
      <c r="A263" s="6" t="s">
        <v>17</v>
      </c>
      <c r="D263" s="6">
        <f>SUBTOTAL(109,myrtleStats[FGM])</f>
        <v>854</v>
      </c>
      <c r="E263" s="6">
        <f>SUBTOTAL(109,myrtleStats[FGA])</f>
        <v>2093</v>
      </c>
      <c r="F263" s="7">
        <f>myrtleStats[[#Totals],[FGM]]/myrtleStats[[#Totals],[FGA]]</f>
        <v>0.40802675585284282</v>
      </c>
      <c r="G263" s="6">
        <f>SUBTOTAL(109,myrtleStats[3-PT FGM])</f>
        <v>247</v>
      </c>
      <c r="H263" s="6">
        <f>SUBTOTAL(109,myrtleStats[3-PT FGA])</f>
        <v>708</v>
      </c>
      <c r="I263" s="7">
        <f>myrtleStats[[#Totals],[3-PT FGM]]/myrtleStats[[#Totals],[3-PT FGA]]</f>
        <v>0.34887005649717512</v>
      </c>
      <c r="J263" s="6">
        <f>SUBTOTAL(109,myrtleStats[FTM])</f>
        <v>518</v>
      </c>
      <c r="K263" s="6">
        <f>SUBTOTAL(109,myrtleStats[FTA])</f>
        <v>634</v>
      </c>
      <c r="L263" s="7">
        <f>myrtleStats[[#Totals],[FTM]]/myrtleStats[[#Totals],[FTA]]</f>
        <v>0.81703470031545744</v>
      </c>
      <c r="M263" s="6">
        <f>SUBTOTAL(109,myrtleStats[REB])</f>
        <v>1037</v>
      </c>
      <c r="N263" s="6">
        <f>SUBTOTAL(109,myrtleStats[AST])</f>
        <v>537</v>
      </c>
      <c r="O263" s="6">
        <f>SUBTOTAL(109,myrtleStats[STL])</f>
        <v>247</v>
      </c>
      <c r="P263" s="6">
        <f>SUBTOTAL(109,myrtleStats[TO])</f>
        <v>396</v>
      </c>
      <c r="Q263" s="6">
        <f>SUBTOTAL(109,myrtleStats[BLK])</f>
        <v>161</v>
      </c>
      <c r="R263" s="6">
        <f>SUBTOTAL(109,myrtleStats[PTS])</f>
        <v>2473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8"/>
  <sheetViews>
    <sheetView showGridLines="0" topLeftCell="A236" workbookViewId="0">
      <selection sqref="A1:R258"/>
    </sheetView>
  </sheetViews>
  <sheetFormatPr defaultRowHeight="15" x14ac:dyDescent="0.25"/>
  <cols>
    <col min="1" max="1" width="7.28515625" style="6" customWidth="1"/>
    <col min="2" max="2" width="1.42578125" style="6" bestFit="1" customWidth="1"/>
    <col min="3" max="3" width="21" style="6" customWidth="1"/>
    <col min="4" max="4" width="5.28515625" style="6" bestFit="1" customWidth="1"/>
    <col min="5" max="5" width="4.7109375" style="6" bestFit="1" customWidth="1"/>
    <col min="6" max="6" width="5.5703125" style="7" bestFit="1" customWidth="1"/>
    <col min="7" max="7" width="4.7109375" style="6" customWidth="1"/>
    <col min="8" max="8" width="4.85546875" style="6" customWidth="1"/>
    <col min="9" max="9" width="6.42578125" style="7" bestFit="1" customWidth="1"/>
    <col min="10" max="10" width="4.85546875" style="6" bestFit="1" customWidth="1"/>
    <col min="11" max="11" width="4.28515625" style="6" bestFit="1" customWidth="1"/>
    <col min="12" max="12" width="5.5703125" style="7" bestFit="1" customWidth="1"/>
    <col min="13" max="14" width="4.28515625" style="6" bestFit="1" customWidth="1"/>
    <col min="15" max="15" width="3.85546875" style="6" bestFit="1" customWidth="1"/>
    <col min="16" max="16" width="4" bestFit="1" customWidth="1"/>
    <col min="17" max="17" width="4.140625" style="6" bestFit="1" customWidth="1"/>
    <col min="18" max="18" width="5" bestFit="1" customWidth="1"/>
    <col min="20" max="20" width="6" style="6" customWidth="1"/>
    <col min="21" max="16384" width="9.140625" style="6"/>
  </cols>
  <sheetData>
    <row r="1" spans="1:19" s="3" customFormat="1" x14ac:dyDescent="0.25">
      <c r="A1" s="3" t="s">
        <v>0</v>
      </c>
      <c r="B1" s="11" t="s">
        <v>19</v>
      </c>
      <c r="C1" s="4" t="s">
        <v>1</v>
      </c>
      <c r="D1" s="3" t="s">
        <v>2</v>
      </c>
      <c r="E1" s="3" t="s">
        <v>3</v>
      </c>
      <c r="F1" s="5" t="s">
        <v>4</v>
      </c>
      <c r="G1" s="3" t="s">
        <v>5</v>
      </c>
      <c r="H1" s="3" t="s">
        <v>6</v>
      </c>
      <c r="I1" s="5" t="s">
        <v>7</v>
      </c>
      <c r="J1" s="3" t="s">
        <v>8</v>
      </c>
      <c r="K1" s="3" t="s">
        <v>9</v>
      </c>
      <c r="L1" s="5" t="s">
        <v>10</v>
      </c>
      <c r="M1" s="3" t="s">
        <v>11</v>
      </c>
      <c r="N1" s="3" t="s">
        <v>12</v>
      </c>
      <c r="O1" s="3" t="s">
        <v>15</v>
      </c>
      <c r="P1" s="3" t="s">
        <v>16</v>
      </c>
      <c r="Q1" s="3" t="s">
        <v>14</v>
      </c>
      <c r="R1" s="13" t="s">
        <v>13</v>
      </c>
    </row>
    <row r="2" spans="1:19" x14ac:dyDescent="0.25">
      <c r="A2" s="14">
        <v>42160</v>
      </c>
      <c r="B2" s="15"/>
      <c r="C2" s="10" t="s">
        <v>40</v>
      </c>
      <c r="D2" s="16">
        <v>7</v>
      </c>
      <c r="E2" s="16">
        <v>12</v>
      </c>
      <c r="F2" s="17">
        <f t="shared" ref="F2:F7" si="0">IF(E2=0,0,D2/E2)</f>
        <v>0.58333333333333337</v>
      </c>
      <c r="G2" s="16">
        <v>0</v>
      </c>
      <c r="H2" s="16">
        <v>0</v>
      </c>
      <c r="I2" s="17">
        <f t="shared" ref="I2:I7" si="1">IF(H2=0,0,G2/H2)</f>
        <v>0</v>
      </c>
      <c r="J2" s="16">
        <v>4</v>
      </c>
      <c r="K2" s="16">
        <v>4</v>
      </c>
      <c r="L2" s="17">
        <f t="shared" ref="L2:L7" si="2">IF(K2=0,0,J2/K2)</f>
        <v>1</v>
      </c>
      <c r="M2" s="16">
        <v>12</v>
      </c>
      <c r="N2" s="16">
        <v>0</v>
      </c>
      <c r="O2" s="16">
        <v>0</v>
      </c>
      <c r="P2" s="16">
        <v>1</v>
      </c>
      <c r="Q2" s="16">
        <v>1</v>
      </c>
      <c r="R2" s="16">
        <v>18</v>
      </c>
      <c r="S2" s="6"/>
    </row>
    <row r="3" spans="1:19" x14ac:dyDescent="0.25">
      <c r="A3" s="26">
        <v>42160</v>
      </c>
      <c r="B3" s="26"/>
      <c r="C3" s="6" t="s">
        <v>41</v>
      </c>
      <c r="D3" s="23">
        <v>6</v>
      </c>
      <c r="E3" s="23">
        <v>18</v>
      </c>
      <c r="F3" s="24">
        <f t="shared" si="0"/>
        <v>0.33333333333333331</v>
      </c>
      <c r="G3" s="23">
        <v>2</v>
      </c>
      <c r="H3" s="23">
        <v>8</v>
      </c>
      <c r="I3" s="24">
        <f t="shared" si="1"/>
        <v>0.25</v>
      </c>
      <c r="J3" s="23">
        <v>3</v>
      </c>
      <c r="K3" s="23">
        <v>3</v>
      </c>
      <c r="L3" s="24">
        <f t="shared" si="2"/>
        <v>1</v>
      </c>
      <c r="M3" s="23">
        <v>7</v>
      </c>
      <c r="N3" s="23">
        <v>7</v>
      </c>
      <c r="O3" s="23">
        <v>2</v>
      </c>
      <c r="P3" s="23">
        <v>3</v>
      </c>
      <c r="Q3" s="23">
        <v>0</v>
      </c>
      <c r="R3" s="25">
        <v>17</v>
      </c>
    </row>
    <row r="4" spans="1:19" x14ac:dyDescent="0.25">
      <c r="A4" s="26">
        <v>42160</v>
      </c>
      <c r="B4" s="26"/>
      <c r="C4" s="6" t="s">
        <v>42</v>
      </c>
      <c r="D4" s="23">
        <v>2</v>
      </c>
      <c r="E4" s="23">
        <v>3</v>
      </c>
      <c r="F4" s="24">
        <f t="shared" si="0"/>
        <v>0.66666666666666663</v>
      </c>
      <c r="G4" s="23">
        <v>0</v>
      </c>
      <c r="H4" s="23">
        <v>0</v>
      </c>
      <c r="I4" s="24">
        <f t="shared" si="1"/>
        <v>0</v>
      </c>
      <c r="J4" s="23">
        <v>0</v>
      </c>
      <c r="K4" s="23">
        <v>0</v>
      </c>
      <c r="L4" s="24">
        <f t="shared" si="2"/>
        <v>0</v>
      </c>
      <c r="M4" s="23">
        <v>10</v>
      </c>
      <c r="N4" s="23">
        <v>3</v>
      </c>
      <c r="O4" s="23">
        <v>0</v>
      </c>
      <c r="P4" s="23">
        <v>1</v>
      </c>
      <c r="Q4" s="23">
        <v>2</v>
      </c>
      <c r="R4" s="25">
        <v>4</v>
      </c>
    </row>
    <row r="5" spans="1:19" x14ac:dyDescent="0.25">
      <c r="A5" s="26">
        <v>42160</v>
      </c>
      <c r="B5" s="26"/>
      <c r="C5" s="6" t="s">
        <v>43</v>
      </c>
      <c r="D5" s="23">
        <v>7</v>
      </c>
      <c r="E5" s="23">
        <v>13</v>
      </c>
      <c r="F5" s="24">
        <f t="shared" si="0"/>
        <v>0.53846153846153844</v>
      </c>
      <c r="G5" s="23">
        <v>3</v>
      </c>
      <c r="H5" s="23">
        <v>7</v>
      </c>
      <c r="I5" s="24">
        <f t="shared" si="1"/>
        <v>0.42857142857142855</v>
      </c>
      <c r="J5" s="23">
        <v>1</v>
      </c>
      <c r="K5" s="23">
        <v>1</v>
      </c>
      <c r="L5" s="24">
        <f t="shared" si="2"/>
        <v>1</v>
      </c>
      <c r="M5" s="23">
        <v>1</v>
      </c>
      <c r="N5" s="23">
        <v>1</v>
      </c>
      <c r="O5" s="23">
        <v>1</v>
      </c>
      <c r="P5" s="23">
        <v>5</v>
      </c>
      <c r="Q5" s="23">
        <v>0</v>
      </c>
      <c r="R5" s="25">
        <v>18</v>
      </c>
    </row>
    <row r="6" spans="1:19" x14ac:dyDescent="0.25">
      <c r="A6" s="26">
        <v>42160</v>
      </c>
      <c r="B6" s="26"/>
      <c r="C6" s="6" t="s">
        <v>44</v>
      </c>
      <c r="D6" s="23">
        <v>3</v>
      </c>
      <c r="E6" s="23">
        <v>4</v>
      </c>
      <c r="F6" s="24">
        <f t="shared" si="0"/>
        <v>0.75</v>
      </c>
      <c r="G6" s="23">
        <v>0</v>
      </c>
      <c r="H6" s="23">
        <v>0</v>
      </c>
      <c r="I6" s="24">
        <f t="shared" si="1"/>
        <v>0</v>
      </c>
      <c r="J6" s="23">
        <v>0</v>
      </c>
      <c r="K6" s="23">
        <v>0</v>
      </c>
      <c r="L6" s="24">
        <f t="shared" si="2"/>
        <v>0</v>
      </c>
      <c r="M6" s="23">
        <v>1</v>
      </c>
      <c r="N6" s="23">
        <v>2</v>
      </c>
      <c r="O6" s="23">
        <v>0</v>
      </c>
      <c r="P6" s="23">
        <v>3</v>
      </c>
      <c r="Q6" s="23">
        <v>1</v>
      </c>
      <c r="R6" s="25">
        <v>6</v>
      </c>
    </row>
    <row r="7" spans="1:19" x14ac:dyDescent="0.25">
      <c r="A7" s="26">
        <v>42160</v>
      </c>
      <c r="B7" s="26"/>
      <c r="C7" s="6" t="s">
        <v>45</v>
      </c>
      <c r="D7" s="23">
        <v>6</v>
      </c>
      <c r="E7" s="23">
        <v>14</v>
      </c>
      <c r="F7" s="24">
        <f t="shared" si="0"/>
        <v>0.42857142857142855</v>
      </c>
      <c r="G7" s="23">
        <v>0</v>
      </c>
      <c r="H7" s="23">
        <v>2</v>
      </c>
      <c r="I7" s="24">
        <f t="shared" si="1"/>
        <v>0</v>
      </c>
      <c r="J7" s="23">
        <v>0</v>
      </c>
      <c r="K7" s="23">
        <v>0</v>
      </c>
      <c r="L7" s="24">
        <f t="shared" si="2"/>
        <v>0</v>
      </c>
      <c r="M7" s="23">
        <v>3</v>
      </c>
      <c r="N7" s="23">
        <v>2</v>
      </c>
      <c r="O7" s="23">
        <v>0</v>
      </c>
      <c r="P7" s="23">
        <v>2</v>
      </c>
      <c r="Q7" s="23">
        <v>0</v>
      </c>
      <c r="R7" s="25">
        <v>12</v>
      </c>
    </row>
    <row r="8" spans="1:19" x14ac:dyDescent="0.25">
      <c r="A8" s="26">
        <v>42161</v>
      </c>
      <c r="B8" s="26"/>
      <c r="C8" s="22" t="s">
        <v>40</v>
      </c>
      <c r="D8" s="23">
        <v>3</v>
      </c>
      <c r="E8" s="23">
        <v>10</v>
      </c>
      <c r="F8" s="24">
        <f>IF(E8=0,0,D8/E8)</f>
        <v>0.3</v>
      </c>
      <c r="G8" s="23">
        <v>0</v>
      </c>
      <c r="H8" s="23">
        <v>0</v>
      </c>
      <c r="I8" s="24">
        <f>IF(H8=0,0,G8/H8)</f>
        <v>0</v>
      </c>
      <c r="J8" s="23">
        <v>0</v>
      </c>
      <c r="K8" s="23">
        <v>0</v>
      </c>
      <c r="L8" s="24">
        <f>IF(K8=0,0,J8/K8)</f>
        <v>0</v>
      </c>
      <c r="M8" s="23">
        <v>5</v>
      </c>
      <c r="N8" s="23">
        <v>2</v>
      </c>
      <c r="O8" s="23">
        <v>1</v>
      </c>
      <c r="P8" s="23">
        <v>3</v>
      </c>
      <c r="Q8" s="23">
        <v>0</v>
      </c>
      <c r="R8" s="25">
        <v>6</v>
      </c>
    </row>
    <row r="9" spans="1:19" x14ac:dyDescent="0.25">
      <c r="A9" s="26">
        <v>42161</v>
      </c>
      <c r="B9" s="26"/>
      <c r="C9" s="22" t="s">
        <v>43</v>
      </c>
      <c r="D9" s="23">
        <v>5</v>
      </c>
      <c r="E9" s="23">
        <v>10</v>
      </c>
      <c r="F9" s="24">
        <f>IF(E9=0,0,D9/E9)</f>
        <v>0.5</v>
      </c>
      <c r="G9" s="23">
        <v>1</v>
      </c>
      <c r="H9" s="23">
        <v>4</v>
      </c>
      <c r="I9" s="24">
        <f>IF(H9=0,0,G9/H9)</f>
        <v>0.25</v>
      </c>
      <c r="J9" s="23">
        <v>5</v>
      </c>
      <c r="K9" s="23">
        <v>9</v>
      </c>
      <c r="L9" s="24">
        <f>IF(K9=0,0,J9/K9)</f>
        <v>0.55555555555555558</v>
      </c>
      <c r="M9" s="23">
        <v>3</v>
      </c>
      <c r="N9" s="23">
        <v>3</v>
      </c>
      <c r="O9" s="23">
        <v>2</v>
      </c>
      <c r="P9" s="23">
        <v>1</v>
      </c>
      <c r="Q9" s="23">
        <v>1</v>
      </c>
      <c r="R9" s="25">
        <v>16</v>
      </c>
    </row>
    <row r="10" spans="1:19" x14ac:dyDescent="0.25">
      <c r="A10" s="26">
        <v>42161</v>
      </c>
      <c r="B10" s="26"/>
      <c r="C10" s="22" t="s">
        <v>42</v>
      </c>
      <c r="D10" s="23">
        <v>2</v>
      </c>
      <c r="E10" s="23">
        <v>5</v>
      </c>
      <c r="F10" s="24">
        <f>IF(E10=0,0,D10/E10)</f>
        <v>0.4</v>
      </c>
      <c r="G10" s="23">
        <v>0</v>
      </c>
      <c r="H10" s="23">
        <v>0</v>
      </c>
      <c r="I10" s="24">
        <f>IF(H10=0,0,G10/H10)</f>
        <v>0</v>
      </c>
      <c r="J10" s="23">
        <v>0</v>
      </c>
      <c r="K10" s="23">
        <v>0</v>
      </c>
      <c r="L10" s="24">
        <f>IF(K10=0,0,J10/K10)</f>
        <v>0</v>
      </c>
      <c r="M10" s="23">
        <v>9</v>
      </c>
      <c r="N10" s="23">
        <v>2</v>
      </c>
      <c r="O10" s="23">
        <v>0</v>
      </c>
      <c r="P10" s="23">
        <v>0</v>
      </c>
      <c r="Q10" s="23">
        <v>3</v>
      </c>
      <c r="R10" s="25">
        <v>4</v>
      </c>
    </row>
    <row r="11" spans="1:19" x14ac:dyDescent="0.25">
      <c r="A11" s="110">
        <v>42161</v>
      </c>
      <c r="B11" s="110"/>
      <c r="C11" s="111" t="s">
        <v>41</v>
      </c>
      <c r="D11" s="112">
        <v>5</v>
      </c>
      <c r="E11" s="112">
        <v>13</v>
      </c>
      <c r="F11" s="113">
        <f>IF(E11=0,0,D11/E11)</f>
        <v>0.38461538461538464</v>
      </c>
      <c r="G11" s="112">
        <v>2</v>
      </c>
      <c r="H11" s="112">
        <v>3</v>
      </c>
      <c r="I11" s="113">
        <f>IF(H11=0,0,G11/H11)</f>
        <v>0.66666666666666663</v>
      </c>
      <c r="J11" s="112">
        <v>11</v>
      </c>
      <c r="K11" s="112">
        <v>12</v>
      </c>
      <c r="L11" s="113">
        <f>IF(K11=0,0,J11/K11)</f>
        <v>0.91666666666666663</v>
      </c>
      <c r="M11" s="112">
        <v>2</v>
      </c>
      <c r="N11" s="112">
        <v>5</v>
      </c>
      <c r="O11" s="112">
        <v>1</v>
      </c>
      <c r="P11" s="112">
        <v>6</v>
      </c>
      <c r="Q11" s="112">
        <v>0</v>
      </c>
      <c r="R11" s="115">
        <v>23</v>
      </c>
    </row>
    <row r="12" spans="1:19" x14ac:dyDescent="0.25">
      <c r="A12" s="110">
        <v>42161</v>
      </c>
      <c r="B12" s="110"/>
      <c r="C12" s="111" t="s">
        <v>85</v>
      </c>
      <c r="D12" s="112">
        <v>3</v>
      </c>
      <c r="E12" s="112">
        <v>6</v>
      </c>
      <c r="F12" s="113">
        <f>IF(E12=0,0,D12/E12)</f>
        <v>0.5</v>
      </c>
      <c r="G12" s="112">
        <v>2</v>
      </c>
      <c r="H12" s="112">
        <v>4</v>
      </c>
      <c r="I12" s="113">
        <f>IF(H12=0,0,G12/H12)</f>
        <v>0.5</v>
      </c>
      <c r="J12" s="112">
        <v>0</v>
      </c>
      <c r="K12" s="112">
        <v>0</v>
      </c>
      <c r="L12" s="113">
        <f>IF(K12=0,0,J12/K12)</f>
        <v>0</v>
      </c>
      <c r="M12" s="112">
        <v>3</v>
      </c>
      <c r="N12" s="112">
        <v>3</v>
      </c>
      <c r="O12" s="112">
        <v>1</v>
      </c>
      <c r="P12" s="112">
        <v>1</v>
      </c>
      <c r="Q12" s="112">
        <v>1</v>
      </c>
      <c r="R12" s="115">
        <v>8</v>
      </c>
    </row>
    <row r="13" spans="1:19" x14ac:dyDescent="0.25">
      <c r="A13" s="26">
        <v>42161</v>
      </c>
      <c r="B13" s="26"/>
      <c r="C13" s="22" t="s">
        <v>86</v>
      </c>
      <c r="D13" s="23">
        <v>2</v>
      </c>
      <c r="E13" s="23">
        <v>10</v>
      </c>
      <c r="F13" s="24">
        <f t="shared" ref="F13:F25" si="3">IF(E13=0,0,D13/E13)</f>
        <v>0.2</v>
      </c>
      <c r="G13" s="23">
        <v>0</v>
      </c>
      <c r="H13" s="23">
        <v>4</v>
      </c>
      <c r="I13" s="24">
        <f t="shared" ref="I13:I25" si="4">IF(H13=0,0,G13/H13)</f>
        <v>0</v>
      </c>
      <c r="J13" s="23">
        <v>3</v>
      </c>
      <c r="K13" s="23">
        <v>6</v>
      </c>
      <c r="L13" s="24">
        <f t="shared" ref="L13:L25" si="5">IF(K13=0,0,J13/K13)</f>
        <v>0.5</v>
      </c>
      <c r="M13" s="23">
        <v>7</v>
      </c>
      <c r="N13" s="23">
        <v>3</v>
      </c>
      <c r="O13" s="23">
        <v>1</v>
      </c>
      <c r="P13" s="23">
        <v>0</v>
      </c>
      <c r="Q13" s="23">
        <v>0</v>
      </c>
      <c r="R13" s="25">
        <v>7</v>
      </c>
    </row>
    <row r="14" spans="1:19" x14ac:dyDescent="0.25">
      <c r="A14" s="26">
        <v>42164</v>
      </c>
      <c r="B14" s="26"/>
      <c r="C14" s="22" t="s">
        <v>43</v>
      </c>
      <c r="D14" s="23">
        <v>1</v>
      </c>
      <c r="E14" s="23">
        <v>2</v>
      </c>
      <c r="F14" s="38">
        <f t="shared" si="3"/>
        <v>0.5</v>
      </c>
      <c r="G14" s="23">
        <v>1</v>
      </c>
      <c r="H14" s="23">
        <v>2</v>
      </c>
      <c r="I14" s="38">
        <f t="shared" si="4"/>
        <v>0.5</v>
      </c>
      <c r="J14" s="23">
        <v>3</v>
      </c>
      <c r="K14" s="23">
        <v>4</v>
      </c>
      <c r="L14" s="38">
        <f t="shared" si="5"/>
        <v>0.75</v>
      </c>
      <c r="M14" s="23">
        <v>1</v>
      </c>
      <c r="N14" s="23">
        <v>2</v>
      </c>
      <c r="O14" s="23">
        <v>0</v>
      </c>
      <c r="P14" s="23">
        <v>2</v>
      </c>
      <c r="Q14" s="23">
        <v>0</v>
      </c>
      <c r="R14" s="25">
        <v>6</v>
      </c>
    </row>
    <row r="15" spans="1:19" x14ac:dyDescent="0.25">
      <c r="A15" s="26">
        <v>42164</v>
      </c>
      <c r="B15" s="26"/>
      <c r="C15" s="22" t="s">
        <v>85</v>
      </c>
      <c r="D15" s="23">
        <v>0</v>
      </c>
      <c r="E15" s="23">
        <v>3</v>
      </c>
      <c r="F15" s="38">
        <f t="shared" si="3"/>
        <v>0</v>
      </c>
      <c r="G15" s="23">
        <v>0</v>
      </c>
      <c r="H15" s="23">
        <v>2</v>
      </c>
      <c r="I15" s="38">
        <f t="shared" si="4"/>
        <v>0</v>
      </c>
      <c r="J15" s="23">
        <v>0</v>
      </c>
      <c r="K15" s="23">
        <v>0</v>
      </c>
      <c r="L15" s="38">
        <f t="shared" si="5"/>
        <v>0</v>
      </c>
      <c r="M15" s="23">
        <v>1</v>
      </c>
      <c r="N15" s="23">
        <v>0</v>
      </c>
      <c r="O15" s="23">
        <v>0</v>
      </c>
      <c r="P15" s="23">
        <v>1</v>
      </c>
      <c r="Q15" s="23">
        <v>0</v>
      </c>
      <c r="R15" s="25">
        <v>0</v>
      </c>
    </row>
    <row r="16" spans="1:19" x14ac:dyDescent="0.25">
      <c r="A16" s="26">
        <v>42164</v>
      </c>
      <c r="B16" s="26"/>
      <c r="C16" s="22" t="s">
        <v>86</v>
      </c>
      <c r="D16" s="23">
        <v>0</v>
      </c>
      <c r="E16" s="23">
        <v>10</v>
      </c>
      <c r="F16" s="38">
        <f t="shared" si="3"/>
        <v>0</v>
      </c>
      <c r="G16" s="23">
        <v>0</v>
      </c>
      <c r="H16" s="23">
        <v>2</v>
      </c>
      <c r="I16" s="38">
        <f t="shared" si="4"/>
        <v>0</v>
      </c>
      <c r="J16" s="23">
        <v>2</v>
      </c>
      <c r="K16" s="23">
        <v>2</v>
      </c>
      <c r="L16" s="38">
        <f t="shared" si="5"/>
        <v>1</v>
      </c>
      <c r="M16" s="23">
        <v>4</v>
      </c>
      <c r="N16" s="23">
        <v>1</v>
      </c>
      <c r="O16" s="23">
        <v>0</v>
      </c>
      <c r="P16" s="23">
        <v>1</v>
      </c>
      <c r="Q16" s="23">
        <v>0</v>
      </c>
      <c r="R16" s="25">
        <v>2</v>
      </c>
    </row>
    <row r="17" spans="1:18" x14ac:dyDescent="0.25">
      <c r="A17" s="26">
        <v>42164</v>
      </c>
      <c r="B17" s="26"/>
      <c r="C17" s="22" t="s">
        <v>42</v>
      </c>
      <c r="D17" s="23">
        <v>0</v>
      </c>
      <c r="E17" s="23">
        <v>2</v>
      </c>
      <c r="F17" s="38">
        <f t="shared" si="3"/>
        <v>0</v>
      </c>
      <c r="G17" s="23">
        <v>0</v>
      </c>
      <c r="H17" s="23">
        <v>0</v>
      </c>
      <c r="I17" s="38">
        <f t="shared" si="4"/>
        <v>0</v>
      </c>
      <c r="J17" s="23">
        <v>0</v>
      </c>
      <c r="K17" s="23">
        <v>0</v>
      </c>
      <c r="L17" s="38">
        <f t="shared" si="5"/>
        <v>0</v>
      </c>
      <c r="M17" s="23">
        <v>11</v>
      </c>
      <c r="N17" s="23">
        <v>0</v>
      </c>
      <c r="O17" s="23">
        <v>2</v>
      </c>
      <c r="P17" s="23">
        <v>2</v>
      </c>
      <c r="Q17" s="23">
        <v>2</v>
      </c>
      <c r="R17" s="25">
        <v>0</v>
      </c>
    </row>
    <row r="18" spans="1:18" x14ac:dyDescent="0.25">
      <c r="A18" s="26">
        <v>42164</v>
      </c>
      <c r="B18" s="26"/>
      <c r="C18" s="22" t="s">
        <v>41</v>
      </c>
      <c r="D18" s="23">
        <v>4</v>
      </c>
      <c r="E18" s="23">
        <v>9</v>
      </c>
      <c r="F18" s="38">
        <f t="shared" si="3"/>
        <v>0.44444444444444442</v>
      </c>
      <c r="G18" s="23">
        <v>1</v>
      </c>
      <c r="H18" s="23">
        <v>5</v>
      </c>
      <c r="I18" s="38">
        <f t="shared" si="4"/>
        <v>0.2</v>
      </c>
      <c r="J18" s="23">
        <v>3</v>
      </c>
      <c r="K18" s="23">
        <v>5</v>
      </c>
      <c r="L18" s="38">
        <f t="shared" si="5"/>
        <v>0.6</v>
      </c>
      <c r="M18" s="23">
        <v>3</v>
      </c>
      <c r="N18" s="23">
        <v>2</v>
      </c>
      <c r="O18" s="23">
        <v>1</v>
      </c>
      <c r="P18" s="23">
        <v>3</v>
      </c>
      <c r="Q18" s="23">
        <v>0</v>
      </c>
      <c r="R18" s="25">
        <v>12</v>
      </c>
    </row>
    <row r="19" spans="1:18" x14ac:dyDescent="0.25">
      <c r="A19" s="102">
        <v>42166</v>
      </c>
      <c r="B19" s="102"/>
      <c r="C19" s="103" t="s">
        <v>45</v>
      </c>
      <c r="D19" s="104">
        <v>4</v>
      </c>
      <c r="E19" s="104">
        <v>9</v>
      </c>
      <c r="F19" s="105">
        <f t="shared" si="3"/>
        <v>0.44444444444444442</v>
      </c>
      <c r="G19" s="104">
        <v>1</v>
      </c>
      <c r="H19" s="104">
        <v>1</v>
      </c>
      <c r="I19" s="105">
        <f t="shared" si="4"/>
        <v>1</v>
      </c>
      <c r="J19" s="104">
        <v>2</v>
      </c>
      <c r="K19" s="104">
        <v>3</v>
      </c>
      <c r="L19" s="105">
        <f t="shared" si="5"/>
        <v>0.66666666666666663</v>
      </c>
      <c r="M19" s="104">
        <v>3</v>
      </c>
      <c r="N19" s="104">
        <v>0</v>
      </c>
      <c r="O19" s="104">
        <v>2</v>
      </c>
      <c r="P19" s="104">
        <v>3</v>
      </c>
      <c r="Q19" s="104">
        <v>0</v>
      </c>
      <c r="R19" s="106">
        <v>11</v>
      </c>
    </row>
    <row r="20" spans="1:18" x14ac:dyDescent="0.25">
      <c r="A20" s="102">
        <v>42166</v>
      </c>
      <c r="B20" s="102"/>
      <c r="C20" s="103" t="s">
        <v>44</v>
      </c>
      <c r="D20" s="104">
        <v>0</v>
      </c>
      <c r="E20" s="104">
        <v>5</v>
      </c>
      <c r="F20" s="105">
        <f t="shared" si="3"/>
        <v>0</v>
      </c>
      <c r="G20" s="104">
        <v>0</v>
      </c>
      <c r="H20" s="104">
        <v>0</v>
      </c>
      <c r="I20" s="105">
        <f t="shared" si="4"/>
        <v>0</v>
      </c>
      <c r="J20" s="104">
        <v>4</v>
      </c>
      <c r="K20" s="104">
        <v>5</v>
      </c>
      <c r="L20" s="105">
        <f t="shared" si="5"/>
        <v>0.8</v>
      </c>
      <c r="M20" s="104">
        <v>1</v>
      </c>
      <c r="N20" s="104">
        <v>6</v>
      </c>
      <c r="O20" s="104">
        <v>1</v>
      </c>
      <c r="P20" s="104">
        <v>1</v>
      </c>
      <c r="Q20" s="104">
        <v>0</v>
      </c>
      <c r="R20" s="106">
        <v>4</v>
      </c>
    </row>
    <row r="21" spans="1:18" x14ac:dyDescent="0.25">
      <c r="A21" s="102">
        <v>42166</v>
      </c>
      <c r="B21" s="102"/>
      <c r="C21" s="103" t="s">
        <v>85</v>
      </c>
      <c r="D21" s="104">
        <v>3</v>
      </c>
      <c r="E21" s="104">
        <v>9</v>
      </c>
      <c r="F21" s="105">
        <f t="shared" si="3"/>
        <v>0.33333333333333331</v>
      </c>
      <c r="G21" s="104">
        <v>2</v>
      </c>
      <c r="H21" s="104">
        <v>6</v>
      </c>
      <c r="I21" s="105">
        <f t="shared" si="4"/>
        <v>0.33333333333333331</v>
      </c>
      <c r="J21" s="104">
        <v>0</v>
      </c>
      <c r="K21" s="104">
        <v>0</v>
      </c>
      <c r="L21" s="105">
        <f t="shared" si="5"/>
        <v>0</v>
      </c>
      <c r="M21" s="104">
        <v>3</v>
      </c>
      <c r="N21" s="104">
        <v>0</v>
      </c>
      <c r="O21" s="104">
        <v>0</v>
      </c>
      <c r="P21" s="104">
        <v>2</v>
      </c>
      <c r="Q21" s="104">
        <v>1</v>
      </c>
      <c r="R21" s="106">
        <v>8</v>
      </c>
    </row>
    <row r="22" spans="1:18" x14ac:dyDescent="0.25">
      <c r="A22" s="102">
        <v>42166</v>
      </c>
      <c r="B22" s="102"/>
      <c r="C22" s="103" t="s">
        <v>86</v>
      </c>
      <c r="D22" s="104">
        <v>3</v>
      </c>
      <c r="E22" s="104">
        <v>11</v>
      </c>
      <c r="F22" s="105">
        <f t="shared" si="3"/>
        <v>0.27272727272727271</v>
      </c>
      <c r="G22" s="104">
        <v>0</v>
      </c>
      <c r="H22" s="104">
        <v>1</v>
      </c>
      <c r="I22" s="105">
        <f t="shared" si="4"/>
        <v>0</v>
      </c>
      <c r="J22" s="104">
        <v>0</v>
      </c>
      <c r="K22" s="104">
        <v>1</v>
      </c>
      <c r="L22" s="105">
        <f t="shared" si="5"/>
        <v>0</v>
      </c>
      <c r="M22" s="104">
        <v>1</v>
      </c>
      <c r="N22" s="104">
        <v>3</v>
      </c>
      <c r="O22" s="104">
        <v>0</v>
      </c>
      <c r="P22" s="104">
        <v>0</v>
      </c>
      <c r="Q22" s="104">
        <v>0</v>
      </c>
      <c r="R22" s="106">
        <v>6</v>
      </c>
    </row>
    <row r="23" spans="1:18" x14ac:dyDescent="0.25">
      <c r="A23" s="102">
        <v>42167</v>
      </c>
      <c r="B23" s="102"/>
      <c r="C23" s="103" t="s">
        <v>40</v>
      </c>
      <c r="D23" s="104">
        <v>2</v>
      </c>
      <c r="E23" s="104">
        <v>5</v>
      </c>
      <c r="F23" s="105">
        <f t="shared" si="3"/>
        <v>0.4</v>
      </c>
      <c r="G23" s="104">
        <v>0</v>
      </c>
      <c r="H23" s="104">
        <v>0</v>
      </c>
      <c r="I23" s="105">
        <f t="shared" si="4"/>
        <v>0</v>
      </c>
      <c r="J23" s="104">
        <v>0</v>
      </c>
      <c r="K23" s="104">
        <v>0</v>
      </c>
      <c r="L23" s="105">
        <f t="shared" si="5"/>
        <v>0</v>
      </c>
      <c r="M23" s="104">
        <v>2</v>
      </c>
      <c r="N23" s="104">
        <v>0</v>
      </c>
      <c r="O23" s="104">
        <v>1</v>
      </c>
      <c r="P23" s="104">
        <v>0</v>
      </c>
      <c r="Q23" s="104">
        <v>0</v>
      </c>
      <c r="R23" s="106">
        <v>4</v>
      </c>
    </row>
    <row r="24" spans="1:18" x14ac:dyDescent="0.25">
      <c r="A24" s="43">
        <v>42167</v>
      </c>
      <c r="B24" s="43"/>
      <c r="C24" s="22" t="s">
        <v>45</v>
      </c>
      <c r="D24" s="23">
        <v>2</v>
      </c>
      <c r="E24" s="23">
        <v>8</v>
      </c>
      <c r="F24" s="38">
        <f t="shared" si="3"/>
        <v>0.25</v>
      </c>
      <c r="G24" s="23">
        <v>0</v>
      </c>
      <c r="H24" s="23">
        <v>2</v>
      </c>
      <c r="I24" s="38">
        <f t="shared" si="4"/>
        <v>0</v>
      </c>
      <c r="J24" s="23">
        <v>4</v>
      </c>
      <c r="K24" s="23">
        <v>6</v>
      </c>
      <c r="L24" s="38">
        <f t="shared" si="5"/>
        <v>0.66666666666666663</v>
      </c>
      <c r="M24" s="23">
        <v>3</v>
      </c>
      <c r="N24" s="23">
        <v>2</v>
      </c>
      <c r="O24" s="23">
        <v>4</v>
      </c>
      <c r="P24" s="23">
        <v>1</v>
      </c>
      <c r="Q24" s="23">
        <v>1</v>
      </c>
      <c r="R24" s="25">
        <v>8</v>
      </c>
    </row>
    <row r="25" spans="1:18" x14ac:dyDescent="0.25">
      <c r="A25" s="43">
        <v>42167</v>
      </c>
      <c r="B25" s="43"/>
      <c r="C25" s="22" t="s">
        <v>43</v>
      </c>
      <c r="D25" s="23">
        <v>4</v>
      </c>
      <c r="E25" s="23">
        <v>8</v>
      </c>
      <c r="F25" s="38">
        <f t="shared" si="3"/>
        <v>0.5</v>
      </c>
      <c r="G25" s="23">
        <v>1</v>
      </c>
      <c r="H25" s="23">
        <v>1</v>
      </c>
      <c r="I25" s="38">
        <f t="shared" si="4"/>
        <v>1</v>
      </c>
      <c r="J25" s="23">
        <v>2</v>
      </c>
      <c r="K25" s="23">
        <v>3</v>
      </c>
      <c r="L25" s="38">
        <f t="shared" si="5"/>
        <v>0.66666666666666663</v>
      </c>
      <c r="M25" s="23">
        <v>6</v>
      </c>
      <c r="N25" s="23">
        <v>0</v>
      </c>
      <c r="O25" s="23">
        <v>1</v>
      </c>
      <c r="P25" s="23">
        <v>1</v>
      </c>
      <c r="Q25" s="23">
        <v>0</v>
      </c>
      <c r="R25" s="25">
        <v>11</v>
      </c>
    </row>
    <row r="26" spans="1:18" x14ac:dyDescent="0.25">
      <c r="A26" s="43">
        <v>42169</v>
      </c>
      <c r="B26" s="43"/>
      <c r="C26" s="22" t="s">
        <v>43</v>
      </c>
      <c r="D26" s="23">
        <v>5</v>
      </c>
      <c r="E26" s="23">
        <v>16</v>
      </c>
      <c r="F26" s="38">
        <f t="shared" ref="F26:F35" si="6">IF(E26=0,0,D26/E26)</f>
        <v>0.3125</v>
      </c>
      <c r="G26" s="23">
        <v>0</v>
      </c>
      <c r="H26" s="23">
        <v>5</v>
      </c>
      <c r="I26" s="38">
        <f t="shared" ref="I26:I35" si="7">IF(H26=0,0,G26/H26)</f>
        <v>0</v>
      </c>
      <c r="J26" s="23">
        <v>6</v>
      </c>
      <c r="K26" s="23">
        <v>12</v>
      </c>
      <c r="L26" s="38">
        <f t="shared" ref="L26:L35" si="8">IF(K26=0,0,J26/K26)</f>
        <v>0.5</v>
      </c>
      <c r="M26" s="23">
        <v>6</v>
      </c>
      <c r="N26" s="23">
        <v>2</v>
      </c>
      <c r="O26" s="23">
        <v>1</v>
      </c>
      <c r="P26" s="23">
        <v>1</v>
      </c>
      <c r="Q26" s="23">
        <v>1</v>
      </c>
      <c r="R26" s="25">
        <v>16</v>
      </c>
    </row>
    <row r="27" spans="1:18" x14ac:dyDescent="0.25">
      <c r="A27" s="43">
        <v>42169</v>
      </c>
      <c r="B27" s="43"/>
      <c r="C27" s="22" t="s">
        <v>42</v>
      </c>
      <c r="D27" s="23">
        <v>5</v>
      </c>
      <c r="E27" s="23">
        <v>15</v>
      </c>
      <c r="F27" s="38">
        <f t="shared" si="6"/>
        <v>0.33333333333333331</v>
      </c>
      <c r="G27" s="23">
        <v>0</v>
      </c>
      <c r="H27" s="23">
        <v>0</v>
      </c>
      <c r="I27" s="38">
        <f t="shared" si="7"/>
        <v>0</v>
      </c>
      <c r="J27" s="23">
        <v>0</v>
      </c>
      <c r="K27" s="23">
        <v>0</v>
      </c>
      <c r="L27" s="38">
        <f t="shared" si="8"/>
        <v>0</v>
      </c>
      <c r="M27" s="23">
        <v>19</v>
      </c>
      <c r="N27" s="23">
        <v>0</v>
      </c>
      <c r="O27" s="23">
        <v>0</v>
      </c>
      <c r="P27" s="23">
        <v>0</v>
      </c>
      <c r="Q27" s="23">
        <v>0</v>
      </c>
      <c r="R27" s="25">
        <v>10</v>
      </c>
    </row>
    <row r="28" spans="1:18" x14ac:dyDescent="0.25">
      <c r="A28" s="43">
        <v>42169</v>
      </c>
      <c r="B28" s="43"/>
      <c r="C28" s="22" t="s">
        <v>44</v>
      </c>
      <c r="D28" s="23">
        <v>4</v>
      </c>
      <c r="E28" s="23">
        <v>10</v>
      </c>
      <c r="F28" s="38">
        <f t="shared" si="6"/>
        <v>0.4</v>
      </c>
      <c r="G28" s="23">
        <v>0</v>
      </c>
      <c r="H28" s="23">
        <v>0</v>
      </c>
      <c r="I28" s="38">
        <f t="shared" si="7"/>
        <v>0</v>
      </c>
      <c r="J28" s="23">
        <v>2</v>
      </c>
      <c r="K28" s="23">
        <v>2</v>
      </c>
      <c r="L28" s="38">
        <f t="shared" si="8"/>
        <v>1</v>
      </c>
      <c r="M28" s="23">
        <v>2</v>
      </c>
      <c r="N28" s="23">
        <v>7</v>
      </c>
      <c r="O28" s="23">
        <v>1</v>
      </c>
      <c r="P28" s="23">
        <v>3</v>
      </c>
      <c r="Q28" s="23">
        <v>0</v>
      </c>
      <c r="R28" s="25">
        <v>10</v>
      </c>
    </row>
    <row r="29" spans="1:18" x14ac:dyDescent="0.25">
      <c r="A29" s="43">
        <v>42169</v>
      </c>
      <c r="B29" s="43"/>
      <c r="C29" s="22" t="s">
        <v>85</v>
      </c>
      <c r="D29" s="23">
        <v>1</v>
      </c>
      <c r="E29" s="23">
        <v>6</v>
      </c>
      <c r="F29" s="38">
        <f t="shared" si="6"/>
        <v>0.16666666666666666</v>
      </c>
      <c r="G29" s="23">
        <v>1</v>
      </c>
      <c r="H29" s="23">
        <v>4</v>
      </c>
      <c r="I29" s="38">
        <f t="shared" si="7"/>
        <v>0.25</v>
      </c>
      <c r="J29" s="23">
        <v>2</v>
      </c>
      <c r="K29" s="23">
        <v>2</v>
      </c>
      <c r="L29" s="38">
        <f t="shared" si="8"/>
        <v>1</v>
      </c>
      <c r="M29" s="23">
        <v>0</v>
      </c>
      <c r="N29" s="23">
        <v>5</v>
      </c>
      <c r="O29" s="23">
        <v>0</v>
      </c>
      <c r="P29" s="23">
        <v>0</v>
      </c>
      <c r="Q29" s="23">
        <v>0</v>
      </c>
      <c r="R29" s="25">
        <v>5</v>
      </c>
    </row>
    <row r="30" spans="1:18" x14ac:dyDescent="0.25">
      <c r="A30" s="43">
        <v>42169</v>
      </c>
      <c r="B30" s="43"/>
      <c r="C30" s="22" t="s">
        <v>40</v>
      </c>
      <c r="D30" s="23">
        <v>6</v>
      </c>
      <c r="E30" s="23">
        <v>10</v>
      </c>
      <c r="F30" s="38">
        <f t="shared" si="6"/>
        <v>0.6</v>
      </c>
      <c r="G30" s="23">
        <v>1</v>
      </c>
      <c r="H30" s="23">
        <v>1</v>
      </c>
      <c r="I30" s="38">
        <f t="shared" si="7"/>
        <v>1</v>
      </c>
      <c r="J30" s="23">
        <v>2</v>
      </c>
      <c r="K30" s="23">
        <v>2</v>
      </c>
      <c r="L30" s="38">
        <f t="shared" si="8"/>
        <v>1</v>
      </c>
      <c r="M30" s="23">
        <v>6</v>
      </c>
      <c r="N30" s="23">
        <v>3</v>
      </c>
      <c r="O30" s="23">
        <v>1</v>
      </c>
      <c r="P30" s="23">
        <v>3</v>
      </c>
      <c r="Q30" s="23">
        <v>3</v>
      </c>
      <c r="R30" s="25">
        <v>15</v>
      </c>
    </row>
    <row r="31" spans="1:18" x14ac:dyDescent="0.25">
      <c r="A31" s="43">
        <v>42171</v>
      </c>
      <c r="B31" s="43"/>
      <c r="C31" s="22" t="s">
        <v>42</v>
      </c>
      <c r="D31" s="23">
        <v>3</v>
      </c>
      <c r="E31" s="23">
        <v>3</v>
      </c>
      <c r="F31" s="38">
        <f t="shared" si="6"/>
        <v>1</v>
      </c>
      <c r="G31" s="23">
        <v>0</v>
      </c>
      <c r="H31" s="23">
        <v>0</v>
      </c>
      <c r="I31" s="38">
        <f t="shared" si="7"/>
        <v>0</v>
      </c>
      <c r="J31" s="23">
        <v>0</v>
      </c>
      <c r="K31" s="23">
        <v>0</v>
      </c>
      <c r="L31" s="38">
        <f t="shared" si="8"/>
        <v>0</v>
      </c>
      <c r="M31" s="23">
        <v>13</v>
      </c>
      <c r="N31" s="23">
        <v>2</v>
      </c>
      <c r="O31" s="23">
        <v>0</v>
      </c>
      <c r="P31" s="23">
        <v>1</v>
      </c>
      <c r="Q31" s="23">
        <v>1</v>
      </c>
      <c r="R31" s="25">
        <v>6</v>
      </c>
    </row>
    <row r="32" spans="1:18" x14ac:dyDescent="0.25">
      <c r="A32" s="43">
        <v>42171</v>
      </c>
      <c r="B32" s="43"/>
      <c r="C32" s="22" t="s">
        <v>43</v>
      </c>
      <c r="D32" s="23">
        <v>6</v>
      </c>
      <c r="E32" s="23">
        <v>15</v>
      </c>
      <c r="F32" s="38">
        <f t="shared" si="6"/>
        <v>0.4</v>
      </c>
      <c r="G32" s="23">
        <v>3</v>
      </c>
      <c r="H32" s="23">
        <v>4</v>
      </c>
      <c r="I32" s="38">
        <f t="shared" si="7"/>
        <v>0.75</v>
      </c>
      <c r="J32" s="23">
        <v>3</v>
      </c>
      <c r="K32" s="23">
        <v>4</v>
      </c>
      <c r="L32" s="38">
        <f t="shared" si="8"/>
        <v>0.75</v>
      </c>
      <c r="M32" s="23">
        <v>6</v>
      </c>
      <c r="N32" s="23">
        <v>0</v>
      </c>
      <c r="O32" s="23">
        <v>2</v>
      </c>
      <c r="P32" s="23">
        <v>1</v>
      </c>
      <c r="Q32" s="23">
        <v>1</v>
      </c>
      <c r="R32" s="25">
        <v>18</v>
      </c>
    </row>
    <row r="33" spans="1:18" x14ac:dyDescent="0.25">
      <c r="A33" s="43">
        <v>42171</v>
      </c>
      <c r="B33" s="43"/>
      <c r="C33" s="22" t="s">
        <v>109</v>
      </c>
      <c r="D33" s="23">
        <v>3</v>
      </c>
      <c r="E33" s="23">
        <v>8</v>
      </c>
      <c r="F33" s="38">
        <f t="shared" si="6"/>
        <v>0.375</v>
      </c>
      <c r="G33" s="23">
        <v>0</v>
      </c>
      <c r="H33" s="23">
        <v>0</v>
      </c>
      <c r="I33" s="38">
        <f t="shared" si="7"/>
        <v>0</v>
      </c>
      <c r="J33" s="23">
        <v>3</v>
      </c>
      <c r="K33" s="23">
        <v>4</v>
      </c>
      <c r="L33" s="38">
        <f t="shared" si="8"/>
        <v>0.75</v>
      </c>
      <c r="M33" s="23">
        <v>2</v>
      </c>
      <c r="N33" s="23">
        <v>3</v>
      </c>
      <c r="O33" s="23">
        <v>2</v>
      </c>
      <c r="P33" s="23">
        <v>2</v>
      </c>
      <c r="Q33" s="23">
        <v>1</v>
      </c>
      <c r="R33" s="25">
        <v>9</v>
      </c>
    </row>
    <row r="34" spans="1:18" x14ac:dyDescent="0.25">
      <c r="A34" s="43">
        <v>42171</v>
      </c>
      <c r="B34" s="43"/>
      <c r="C34" s="22" t="s">
        <v>85</v>
      </c>
      <c r="D34" s="23">
        <v>0</v>
      </c>
      <c r="E34" s="23">
        <v>3</v>
      </c>
      <c r="F34" s="38">
        <f t="shared" si="6"/>
        <v>0</v>
      </c>
      <c r="G34" s="23">
        <v>0</v>
      </c>
      <c r="H34" s="23">
        <v>2</v>
      </c>
      <c r="I34" s="38">
        <f t="shared" si="7"/>
        <v>0</v>
      </c>
      <c r="J34" s="23">
        <v>0</v>
      </c>
      <c r="K34" s="23">
        <v>0</v>
      </c>
      <c r="L34" s="38">
        <f t="shared" si="8"/>
        <v>0</v>
      </c>
      <c r="M34" s="23">
        <v>0</v>
      </c>
      <c r="N34" s="23">
        <v>6</v>
      </c>
      <c r="O34" s="23">
        <v>1</v>
      </c>
      <c r="P34" s="23">
        <v>1</v>
      </c>
      <c r="Q34" s="23">
        <v>0</v>
      </c>
      <c r="R34" s="25">
        <v>0</v>
      </c>
    </row>
    <row r="35" spans="1:18" x14ac:dyDescent="0.25">
      <c r="A35" s="43">
        <v>42171</v>
      </c>
      <c r="B35" s="43"/>
      <c r="C35" s="22" t="s">
        <v>86</v>
      </c>
      <c r="D35" s="23">
        <v>3</v>
      </c>
      <c r="E35" s="23">
        <v>8</v>
      </c>
      <c r="F35" s="38">
        <f t="shared" si="6"/>
        <v>0.375</v>
      </c>
      <c r="G35" s="23">
        <v>0</v>
      </c>
      <c r="H35" s="23">
        <v>3</v>
      </c>
      <c r="I35" s="38">
        <f t="shared" si="7"/>
        <v>0</v>
      </c>
      <c r="J35" s="23">
        <v>2</v>
      </c>
      <c r="K35" s="23">
        <v>2</v>
      </c>
      <c r="L35" s="38">
        <f t="shared" si="8"/>
        <v>1</v>
      </c>
      <c r="M35" s="23">
        <v>1</v>
      </c>
      <c r="N35" s="23">
        <v>0</v>
      </c>
      <c r="O35" s="23">
        <v>1</v>
      </c>
      <c r="P35" s="23">
        <v>3</v>
      </c>
      <c r="Q35" s="23">
        <v>0</v>
      </c>
      <c r="R35" s="25">
        <v>8</v>
      </c>
    </row>
    <row r="36" spans="1:18" x14ac:dyDescent="0.25">
      <c r="A36" s="43">
        <v>42174</v>
      </c>
      <c r="B36" s="43"/>
      <c r="C36" s="22" t="s">
        <v>42</v>
      </c>
      <c r="D36" s="23">
        <v>4</v>
      </c>
      <c r="E36" s="23">
        <v>10</v>
      </c>
      <c r="F36" s="38">
        <f t="shared" ref="F36:F59" si="9">IF(E36=0,0,D36/E36)</f>
        <v>0.4</v>
      </c>
      <c r="G36" s="23">
        <v>0</v>
      </c>
      <c r="H36" s="23">
        <v>0</v>
      </c>
      <c r="I36" s="38">
        <f t="shared" ref="I36:I59" si="10">IF(H36=0,0,G36/H36)</f>
        <v>0</v>
      </c>
      <c r="J36" s="23">
        <v>1</v>
      </c>
      <c r="K36" s="23">
        <v>2</v>
      </c>
      <c r="L36" s="38">
        <f t="shared" ref="L36:L59" si="11">IF(K36=0,0,J36/K36)</f>
        <v>0.5</v>
      </c>
      <c r="M36" s="23">
        <v>14</v>
      </c>
      <c r="N36" s="23">
        <v>4</v>
      </c>
      <c r="O36" s="23">
        <v>0</v>
      </c>
      <c r="P36" s="23">
        <v>0</v>
      </c>
      <c r="Q36" s="23">
        <v>1</v>
      </c>
      <c r="R36" s="25">
        <v>9</v>
      </c>
    </row>
    <row r="37" spans="1:18" x14ac:dyDescent="0.25">
      <c r="A37" s="43">
        <v>42174</v>
      </c>
      <c r="B37" s="43"/>
      <c r="C37" s="22" t="s">
        <v>44</v>
      </c>
      <c r="D37" s="23">
        <v>2</v>
      </c>
      <c r="E37" s="23">
        <v>9</v>
      </c>
      <c r="F37" s="38">
        <f t="shared" si="9"/>
        <v>0.22222222222222221</v>
      </c>
      <c r="G37" s="23">
        <v>0</v>
      </c>
      <c r="H37" s="23">
        <v>1</v>
      </c>
      <c r="I37" s="38">
        <f t="shared" si="10"/>
        <v>0</v>
      </c>
      <c r="J37" s="23">
        <v>2</v>
      </c>
      <c r="K37" s="23">
        <v>2</v>
      </c>
      <c r="L37" s="38">
        <f t="shared" si="11"/>
        <v>1</v>
      </c>
      <c r="M37" s="23">
        <v>1</v>
      </c>
      <c r="N37" s="23">
        <v>5</v>
      </c>
      <c r="O37" s="23">
        <v>0</v>
      </c>
      <c r="P37" s="23">
        <v>0</v>
      </c>
      <c r="Q37" s="23">
        <v>0</v>
      </c>
      <c r="R37" s="25">
        <v>6</v>
      </c>
    </row>
    <row r="38" spans="1:18" x14ac:dyDescent="0.25">
      <c r="A38" s="43">
        <v>42174</v>
      </c>
      <c r="B38" s="43"/>
      <c r="C38" s="22" t="s">
        <v>43</v>
      </c>
      <c r="D38" s="23">
        <v>6</v>
      </c>
      <c r="E38" s="23">
        <v>14</v>
      </c>
      <c r="F38" s="38">
        <f t="shared" si="9"/>
        <v>0.42857142857142855</v>
      </c>
      <c r="G38" s="23">
        <v>2</v>
      </c>
      <c r="H38" s="23">
        <v>4</v>
      </c>
      <c r="I38" s="38">
        <f t="shared" si="10"/>
        <v>0.5</v>
      </c>
      <c r="J38" s="23">
        <v>2</v>
      </c>
      <c r="K38" s="23">
        <v>2</v>
      </c>
      <c r="L38" s="38">
        <f t="shared" si="11"/>
        <v>1</v>
      </c>
      <c r="M38" s="23">
        <v>6</v>
      </c>
      <c r="N38" s="23">
        <v>7</v>
      </c>
      <c r="O38" s="23">
        <v>3</v>
      </c>
      <c r="P38" s="23">
        <v>1</v>
      </c>
      <c r="Q38" s="23">
        <v>0</v>
      </c>
      <c r="R38" s="25">
        <v>16</v>
      </c>
    </row>
    <row r="39" spans="1:18" x14ac:dyDescent="0.25">
      <c r="A39" s="43">
        <v>42174</v>
      </c>
      <c r="B39" s="43"/>
      <c r="C39" s="22" t="s">
        <v>40</v>
      </c>
      <c r="D39" s="23">
        <v>4</v>
      </c>
      <c r="E39" s="23">
        <v>10</v>
      </c>
      <c r="F39" s="38">
        <f t="shared" si="9"/>
        <v>0.4</v>
      </c>
      <c r="G39" s="23">
        <v>0</v>
      </c>
      <c r="H39" s="23">
        <v>0</v>
      </c>
      <c r="I39" s="38">
        <f t="shared" si="10"/>
        <v>0</v>
      </c>
      <c r="J39" s="23">
        <v>3</v>
      </c>
      <c r="K39" s="23">
        <v>3</v>
      </c>
      <c r="L39" s="38">
        <f t="shared" si="11"/>
        <v>1</v>
      </c>
      <c r="M39" s="23">
        <v>9</v>
      </c>
      <c r="N39" s="23">
        <v>0</v>
      </c>
      <c r="O39" s="23">
        <v>0</v>
      </c>
      <c r="P39" s="23">
        <v>4</v>
      </c>
      <c r="Q39" s="23">
        <v>3</v>
      </c>
      <c r="R39" s="25">
        <v>11</v>
      </c>
    </row>
    <row r="40" spans="1:18" x14ac:dyDescent="0.25">
      <c r="A40" s="43">
        <v>42174</v>
      </c>
      <c r="B40" s="43"/>
      <c r="C40" s="22" t="s">
        <v>109</v>
      </c>
      <c r="D40" s="23">
        <v>3</v>
      </c>
      <c r="E40" s="23">
        <v>13</v>
      </c>
      <c r="F40" s="38">
        <f t="shared" si="9"/>
        <v>0.23076923076923078</v>
      </c>
      <c r="G40" s="23">
        <v>0</v>
      </c>
      <c r="H40" s="23">
        <v>2</v>
      </c>
      <c r="I40" s="38">
        <f t="shared" si="10"/>
        <v>0</v>
      </c>
      <c r="J40" s="23">
        <v>0</v>
      </c>
      <c r="K40" s="23">
        <v>0</v>
      </c>
      <c r="L40" s="38">
        <f t="shared" si="11"/>
        <v>0</v>
      </c>
      <c r="M40" s="23">
        <v>4</v>
      </c>
      <c r="N40" s="23">
        <v>2</v>
      </c>
      <c r="O40" s="23">
        <v>2</v>
      </c>
      <c r="P40" s="23">
        <v>1</v>
      </c>
      <c r="Q40" s="23">
        <v>0</v>
      </c>
      <c r="R40" s="25">
        <v>6</v>
      </c>
    </row>
    <row r="41" spans="1:18" x14ac:dyDescent="0.25">
      <c r="A41" s="43">
        <v>42174</v>
      </c>
      <c r="B41" s="43"/>
      <c r="C41" s="22" t="s">
        <v>45</v>
      </c>
      <c r="D41" s="23">
        <v>4</v>
      </c>
      <c r="E41" s="23">
        <v>13</v>
      </c>
      <c r="F41" s="38">
        <f t="shared" si="9"/>
        <v>0.30769230769230771</v>
      </c>
      <c r="G41" s="23">
        <v>1</v>
      </c>
      <c r="H41" s="23">
        <v>2</v>
      </c>
      <c r="I41" s="38">
        <f t="shared" si="10"/>
        <v>0.5</v>
      </c>
      <c r="J41" s="23">
        <v>2</v>
      </c>
      <c r="K41" s="23">
        <v>4</v>
      </c>
      <c r="L41" s="38">
        <f t="shared" si="11"/>
        <v>0.5</v>
      </c>
      <c r="M41" s="23">
        <v>5</v>
      </c>
      <c r="N41" s="23">
        <v>2</v>
      </c>
      <c r="O41" s="23">
        <v>1</v>
      </c>
      <c r="P41" s="23">
        <v>2</v>
      </c>
      <c r="Q41" s="23">
        <v>1</v>
      </c>
      <c r="R41" s="25">
        <v>11</v>
      </c>
    </row>
    <row r="42" spans="1:18" x14ac:dyDescent="0.25">
      <c r="A42" s="43">
        <v>42175</v>
      </c>
      <c r="B42" s="43"/>
      <c r="C42" s="22" t="s">
        <v>40</v>
      </c>
      <c r="D42" s="23">
        <v>5</v>
      </c>
      <c r="E42" s="23">
        <v>7</v>
      </c>
      <c r="F42" s="38">
        <f t="shared" si="9"/>
        <v>0.7142857142857143</v>
      </c>
      <c r="G42" s="23">
        <v>0</v>
      </c>
      <c r="H42" s="23">
        <v>0</v>
      </c>
      <c r="I42" s="38">
        <f t="shared" si="10"/>
        <v>0</v>
      </c>
      <c r="J42" s="23">
        <v>2</v>
      </c>
      <c r="K42" s="23">
        <v>2</v>
      </c>
      <c r="L42" s="38">
        <f t="shared" si="11"/>
        <v>1</v>
      </c>
      <c r="M42" s="23">
        <v>7</v>
      </c>
      <c r="N42" s="23">
        <v>3</v>
      </c>
      <c r="O42" s="23">
        <v>0</v>
      </c>
      <c r="P42" s="23">
        <v>3</v>
      </c>
      <c r="Q42" s="23">
        <v>2</v>
      </c>
      <c r="R42" s="25">
        <v>12</v>
      </c>
    </row>
    <row r="43" spans="1:18" x14ac:dyDescent="0.25">
      <c r="A43" s="43">
        <v>42175</v>
      </c>
      <c r="B43" s="43"/>
      <c r="C43" s="22" t="s">
        <v>43</v>
      </c>
      <c r="D43" s="23">
        <v>2</v>
      </c>
      <c r="E43" s="23">
        <v>9</v>
      </c>
      <c r="F43" s="38">
        <f t="shared" si="9"/>
        <v>0.22222222222222221</v>
      </c>
      <c r="G43" s="23">
        <v>0</v>
      </c>
      <c r="H43" s="23">
        <v>3</v>
      </c>
      <c r="I43" s="38">
        <f t="shared" si="10"/>
        <v>0</v>
      </c>
      <c r="J43" s="23">
        <v>4</v>
      </c>
      <c r="K43" s="23">
        <v>4</v>
      </c>
      <c r="L43" s="38">
        <f t="shared" si="11"/>
        <v>1</v>
      </c>
      <c r="M43" s="23">
        <v>3</v>
      </c>
      <c r="N43" s="23">
        <v>3</v>
      </c>
      <c r="O43" s="23">
        <v>2</v>
      </c>
      <c r="P43" s="23">
        <v>2</v>
      </c>
      <c r="Q43" s="23">
        <v>0</v>
      </c>
      <c r="R43" s="25">
        <v>8</v>
      </c>
    </row>
    <row r="44" spans="1:18" x14ac:dyDescent="0.25">
      <c r="A44" s="43">
        <v>42175</v>
      </c>
      <c r="B44" s="43"/>
      <c r="C44" s="22" t="s">
        <v>44</v>
      </c>
      <c r="D44" s="23">
        <v>6</v>
      </c>
      <c r="E44" s="23">
        <v>14</v>
      </c>
      <c r="F44" s="38">
        <f t="shared" si="9"/>
        <v>0.42857142857142855</v>
      </c>
      <c r="G44" s="23">
        <v>0</v>
      </c>
      <c r="H44" s="23">
        <v>1</v>
      </c>
      <c r="I44" s="38">
        <f t="shared" si="10"/>
        <v>0</v>
      </c>
      <c r="J44" s="23">
        <v>5</v>
      </c>
      <c r="K44" s="23">
        <v>6</v>
      </c>
      <c r="L44" s="38">
        <f t="shared" si="11"/>
        <v>0.83333333333333337</v>
      </c>
      <c r="M44" s="23">
        <v>4</v>
      </c>
      <c r="N44" s="23">
        <v>6</v>
      </c>
      <c r="O44" s="23">
        <v>1</v>
      </c>
      <c r="P44" s="23">
        <v>0</v>
      </c>
      <c r="Q44" s="23">
        <v>0</v>
      </c>
      <c r="R44" s="25">
        <v>17</v>
      </c>
    </row>
    <row r="45" spans="1:18" x14ac:dyDescent="0.25">
      <c r="A45" s="43">
        <v>42176</v>
      </c>
      <c r="B45" s="43"/>
      <c r="C45" s="22" t="s">
        <v>42</v>
      </c>
      <c r="D45" s="23">
        <v>8</v>
      </c>
      <c r="E45" s="23">
        <v>13</v>
      </c>
      <c r="F45" s="38">
        <f t="shared" si="9"/>
        <v>0.61538461538461542</v>
      </c>
      <c r="G45" s="23">
        <v>0</v>
      </c>
      <c r="H45" s="23">
        <v>0</v>
      </c>
      <c r="I45" s="38">
        <f t="shared" si="10"/>
        <v>0</v>
      </c>
      <c r="J45" s="23">
        <v>0</v>
      </c>
      <c r="K45" s="23">
        <v>0</v>
      </c>
      <c r="L45" s="38">
        <f t="shared" si="11"/>
        <v>0</v>
      </c>
      <c r="M45" s="23">
        <v>11</v>
      </c>
      <c r="N45" s="23">
        <v>1</v>
      </c>
      <c r="O45" s="23">
        <v>0</v>
      </c>
      <c r="P45" s="23">
        <v>2</v>
      </c>
      <c r="Q45" s="23">
        <v>0</v>
      </c>
      <c r="R45" s="25">
        <v>16</v>
      </c>
    </row>
    <row r="46" spans="1:18" x14ac:dyDescent="0.25">
      <c r="A46" s="43">
        <v>42176</v>
      </c>
      <c r="B46" s="43"/>
      <c r="C46" s="22" t="s">
        <v>109</v>
      </c>
      <c r="D46" s="23">
        <v>0</v>
      </c>
      <c r="E46" s="23">
        <v>8</v>
      </c>
      <c r="F46" s="38">
        <f t="shared" si="9"/>
        <v>0</v>
      </c>
      <c r="G46" s="23">
        <v>0</v>
      </c>
      <c r="H46" s="23">
        <v>2</v>
      </c>
      <c r="I46" s="38">
        <f t="shared" si="10"/>
        <v>0</v>
      </c>
      <c r="J46" s="23">
        <v>4</v>
      </c>
      <c r="K46" s="23">
        <v>4</v>
      </c>
      <c r="L46" s="38">
        <f t="shared" si="11"/>
        <v>1</v>
      </c>
      <c r="M46" s="23">
        <v>1</v>
      </c>
      <c r="N46" s="23">
        <v>3</v>
      </c>
      <c r="O46" s="23">
        <v>2</v>
      </c>
      <c r="P46" s="23">
        <v>0</v>
      </c>
      <c r="Q46" s="23">
        <v>1</v>
      </c>
      <c r="R46" s="25">
        <v>4</v>
      </c>
    </row>
    <row r="47" spans="1:18" x14ac:dyDescent="0.25">
      <c r="A47" s="43">
        <v>42176</v>
      </c>
      <c r="B47" s="43"/>
      <c r="C47" s="22" t="s">
        <v>45</v>
      </c>
      <c r="D47" s="23">
        <v>4</v>
      </c>
      <c r="E47" s="23">
        <v>9</v>
      </c>
      <c r="F47" s="38">
        <f t="shared" si="9"/>
        <v>0.44444444444444442</v>
      </c>
      <c r="G47" s="23">
        <v>2</v>
      </c>
      <c r="H47" s="23">
        <v>4</v>
      </c>
      <c r="I47" s="38">
        <f t="shared" si="10"/>
        <v>0.5</v>
      </c>
      <c r="J47" s="23">
        <v>2</v>
      </c>
      <c r="K47" s="23">
        <v>2</v>
      </c>
      <c r="L47" s="38">
        <f t="shared" si="11"/>
        <v>1</v>
      </c>
      <c r="M47" s="23">
        <v>3</v>
      </c>
      <c r="N47" s="23">
        <v>2</v>
      </c>
      <c r="O47" s="23">
        <v>1</v>
      </c>
      <c r="P47" s="23">
        <v>2</v>
      </c>
      <c r="Q47" s="23">
        <v>0</v>
      </c>
      <c r="R47" s="25">
        <v>12</v>
      </c>
    </row>
    <row r="48" spans="1:18" x14ac:dyDescent="0.25">
      <c r="A48" s="43">
        <v>42176</v>
      </c>
      <c r="B48" s="43"/>
      <c r="C48" s="22" t="s">
        <v>85</v>
      </c>
      <c r="D48" s="23">
        <v>2</v>
      </c>
      <c r="E48" s="23">
        <v>7</v>
      </c>
      <c r="F48" s="38">
        <f t="shared" si="9"/>
        <v>0.2857142857142857</v>
      </c>
      <c r="G48" s="23">
        <v>0</v>
      </c>
      <c r="H48" s="23">
        <v>1</v>
      </c>
      <c r="I48" s="38">
        <f t="shared" si="10"/>
        <v>0</v>
      </c>
      <c r="J48" s="23">
        <v>5</v>
      </c>
      <c r="K48" s="23">
        <v>5</v>
      </c>
      <c r="L48" s="38">
        <f t="shared" si="11"/>
        <v>1</v>
      </c>
      <c r="M48" s="23">
        <v>2</v>
      </c>
      <c r="N48" s="23">
        <v>3</v>
      </c>
      <c r="O48" s="23">
        <v>0</v>
      </c>
      <c r="P48" s="23">
        <v>1</v>
      </c>
      <c r="Q48" s="23">
        <v>0</v>
      </c>
      <c r="R48" s="25">
        <v>9</v>
      </c>
    </row>
    <row r="49" spans="1:18" x14ac:dyDescent="0.25">
      <c r="A49" s="43">
        <v>42176</v>
      </c>
      <c r="B49" s="43"/>
      <c r="C49" s="22" t="s">
        <v>86</v>
      </c>
      <c r="D49" s="23">
        <v>3</v>
      </c>
      <c r="E49" s="23">
        <v>5</v>
      </c>
      <c r="F49" s="38">
        <f t="shared" si="9"/>
        <v>0.6</v>
      </c>
      <c r="G49" s="23">
        <v>0</v>
      </c>
      <c r="H49" s="23">
        <v>0</v>
      </c>
      <c r="I49" s="38">
        <f t="shared" si="10"/>
        <v>0</v>
      </c>
      <c r="J49" s="23">
        <v>3</v>
      </c>
      <c r="K49" s="23">
        <v>4</v>
      </c>
      <c r="L49" s="38">
        <f t="shared" si="11"/>
        <v>0.75</v>
      </c>
      <c r="M49" s="23">
        <v>3</v>
      </c>
      <c r="N49" s="23">
        <v>0</v>
      </c>
      <c r="O49" s="23">
        <v>0</v>
      </c>
      <c r="P49" s="23">
        <v>2</v>
      </c>
      <c r="Q49" s="23">
        <v>0</v>
      </c>
      <c r="R49" s="25">
        <v>9</v>
      </c>
    </row>
    <row r="50" spans="1:18" x14ac:dyDescent="0.25">
      <c r="A50" s="43">
        <v>42178</v>
      </c>
      <c r="B50" s="43"/>
      <c r="C50" s="22" t="s">
        <v>117</v>
      </c>
      <c r="D50" s="23">
        <v>6</v>
      </c>
      <c r="E50" s="23">
        <v>9</v>
      </c>
      <c r="F50" s="38">
        <f t="shared" si="9"/>
        <v>0.66666666666666663</v>
      </c>
      <c r="G50" s="23">
        <v>2</v>
      </c>
      <c r="H50" s="23">
        <v>3</v>
      </c>
      <c r="I50" s="38">
        <f t="shared" si="10"/>
        <v>0.66666666666666663</v>
      </c>
      <c r="J50" s="23">
        <v>3</v>
      </c>
      <c r="K50" s="23">
        <v>3</v>
      </c>
      <c r="L50" s="38">
        <f t="shared" si="11"/>
        <v>1</v>
      </c>
      <c r="M50" s="23">
        <v>4</v>
      </c>
      <c r="N50" s="23">
        <v>10</v>
      </c>
      <c r="O50" s="23">
        <v>0</v>
      </c>
      <c r="P50" s="23">
        <v>3</v>
      </c>
      <c r="Q50" s="23">
        <v>0</v>
      </c>
      <c r="R50" s="25">
        <v>17</v>
      </c>
    </row>
    <row r="51" spans="1:18" x14ac:dyDescent="0.25">
      <c r="A51" s="43">
        <v>42178</v>
      </c>
      <c r="B51" s="43"/>
      <c r="C51" s="22" t="s">
        <v>40</v>
      </c>
      <c r="D51" s="23">
        <v>2</v>
      </c>
      <c r="E51" s="23">
        <v>6</v>
      </c>
      <c r="F51" s="38">
        <f t="shared" si="9"/>
        <v>0.33333333333333331</v>
      </c>
      <c r="G51" s="23">
        <v>0</v>
      </c>
      <c r="H51" s="23">
        <v>0</v>
      </c>
      <c r="I51" s="38">
        <f t="shared" si="10"/>
        <v>0</v>
      </c>
      <c r="J51" s="23">
        <v>3</v>
      </c>
      <c r="K51" s="23">
        <v>4</v>
      </c>
      <c r="L51" s="38">
        <f t="shared" si="11"/>
        <v>0.75</v>
      </c>
      <c r="M51" s="23">
        <v>7</v>
      </c>
      <c r="N51" s="23">
        <v>1</v>
      </c>
      <c r="O51" s="23">
        <v>0</v>
      </c>
      <c r="P51" s="23">
        <v>1</v>
      </c>
      <c r="Q51" s="23">
        <v>2</v>
      </c>
      <c r="R51" s="25">
        <v>7</v>
      </c>
    </row>
    <row r="52" spans="1:18" x14ac:dyDescent="0.25">
      <c r="A52" s="43">
        <v>42180</v>
      </c>
      <c r="B52" s="43"/>
      <c r="C52" s="22" t="s">
        <v>85</v>
      </c>
      <c r="D52" s="23">
        <v>5</v>
      </c>
      <c r="E52" s="23">
        <v>10</v>
      </c>
      <c r="F52" s="38">
        <f t="shared" si="9"/>
        <v>0.5</v>
      </c>
      <c r="G52" s="23">
        <v>3</v>
      </c>
      <c r="H52" s="23">
        <v>6</v>
      </c>
      <c r="I52" s="38">
        <f t="shared" si="10"/>
        <v>0.5</v>
      </c>
      <c r="J52" s="23">
        <v>4</v>
      </c>
      <c r="K52" s="23">
        <v>4</v>
      </c>
      <c r="L52" s="38">
        <f t="shared" si="11"/>
        <v>1</v>
      </c>
      <c r="M52" s="23">
        <v>2</v>
      </c>
      <c r="N52" s="23">
        <v>2</v>
      </c>
      <c r="O52" s="23">
        <v>0</v>
      </c>
      <c r="P52" s="23">
        <v>2</v>
      </c>
      <c r="Q52" s="23">
        <v>0</v>
      </c>
      <c r="R52" s="25">
        <v>17</v>
      </c>
    </row>
    <row r="53" spans="1:18" x14ac:dyDescent="0.25">
      <c r="A53" s="43">
        <v>42180</v>
      </c>
      <c r="B53" s="43"/>
      <c r="C53" s="22" t="s">
        <v>86</v>
      </c>
      <c r="D53" s="23">
        <v>1</v>
      </c>
      <c r="E53" s="23">
        <v>3</v>
      </c>
      <c r="F53" s="38">
        <f t="shared" si="9"/>
        <v>0.33333333333333331</v>
      </c>
      <c r="G53" s="23">
        <v>0</v>
      </c>
      <c r="H53" s="23">
        <v>0</v>
      </c>
      <c r="I53" s="38">
        <f t="shared" si="10"/>
        <v>0</v>
      </c>
      <c r="J53" s="23">
        <v>1</v>
      </c>
      <c r="K53" s="23">
        <v>1</v>
      </c>
      <c r="L53" s="38">
        <f t="shared" si="11"/>
        <v>1</v>
      </c>
      <c r="M53" s="23">
        <v>3</v>
      </c>
      <c r="N53" s="23">
        <v>0</v>
      </c>
      <c r="O53" s="23">
        <v>1</v>
      </c>
      <c r="P53" s="23">
        <v>1</v>
      </c>
      <c r="Q53" s="23">
        <v>0</v>
      </c>
      <c r="R53" s="25">
        <v>3</v>
      </c>
    </row>
    <row r="54" spans="1:18" x14ac:dyDescent="0.25">
      <c r="A54" s="43">
        <v>42180</v>
      </c>
      <c r="B54" s="43"/>
      <c r="C54" s="22" t="s">
        <v>44</v>
      </c>
      <c r="D54" s="23">
        <v>5</v>
      </c>
      <c r="E54" s="23">
        <v>11</v>
      </c>
      <c r="F54" s="38">
        <f t="shared" si="9"/>
        <v>0.45454545454545453</v>
      </c>
      <c r="G54" s="23">
        <v>0</v>
      </c>
      <c r="H54" s="23">
        <v>1</v>
      </c>
      <c r="I54" s="38">
        <f t="shared" si="10"/>
        <v>0</v>
      </c>
      <c r="J54" s="23">
        <v>5</v>
      </c>
      <c r="K54" s="23">
        <v>5</v>
      </c>
      <c r="L54" s="38">
        <f t="shared" si="11"/>
        <v>1</v>
      </c>
      <c r="M54" s="23">
        <v>8</v>
      </c>
      <c r="N54" s="23">
        <v>8</v>
      </c>
      <c r="O54" s="23">
        <v>0</v>
      </c>
      <c r="P54" s="23">
        <v>6</v>
      </c>
      <c r="Q54" s="23">
        <v>0</v>
      </c>
      <c r="R54" s="25">
        <v>15</v>
      </c>
    </row>
    <row r="55" spans="1:18" x14ac:dyDescent="0.25">
      <c r="A55" s="43">
        <v>42180</v>
      </c>
      <c r="B55" s="43"/>
      <c r="C55" s="22" t="s">
        <v>45</v>
      </c>
      <c r="D55" s="23">
        <v>3</v>
      </c>
      <c r="E55" s="23">
        <v>6</v>
      </c>
      <c r="F55" s="38">
        <f t="shared" si="9"/>
        <v>0.5</v>
      </c>
      <c r="G55" s="23">
        <v>0</v>
      </c>
      <c r="H55" s="23">
        <v>0</v>
      </c>
      <c r="I55" s="38">
        <f t="shared" si="10"/>
        <v>0</v>
      </c>
      <c r="J55" s="23">
        <v>3</v>
      </c>
      <c r="K55" s="23">
        <v>4</v>
      </c>
      <c r="L55" s="38">
        <f t="shared" si="11"/>
        <v>0.75</v>
      </c>
      <c r="M55" s="23">
        <v>2</v>
      </c>
      <c r="N55" s="23">
        <v>2</v>
      </c>
      <c r="O55" s="23">
        <v>0</v>
      </c>
      <c r="P55" s="23">
        <v>2</v>
      </c>
      <c r="Q55" s="23">
        <v>1</v>
      </c>
      <c r="R55" s="25">
        <v>9</v>
      </c>
    </row>
    <row r="56" spans="1:18" x14ac:dyDescent="0.25">
      <c r="A56" s="43">
        <v>42181</v>
      </c>
      <c r="B56" s="43"/>
      <c r="C56" s="22" t="s">
        <v>40</v>
      </c>
      <c r="D56" s="23">
        <v>6</v>
      </c>
      <c r="E56" s="23">
        <v>7</v>
      </c>
      <c r="F56" s="38">
        <f t="shared" si="9"/>
        <v>0.8571428571428571</v>
      </c>
      <c r="G56" s="23">
        <v>0</v>
      </c>
      <c r="H56" s="23">
        <v>0</v>
      </c>
      <c r="I56" s="38">
        <f t="shared" si="10"/>
        <v>0</v>
      </c>
      <c r="J56" s="23">
        <v>0</v>
      </c>
      <c r="K56" s="23">
        <v>0</v>
      </c>
      <c r="L56" s="38">
        <f t="shared" si="11"/>
        <v>0</v>
      </c>
      <c r="M56" s="23">
        <v>5</v>
      </c>
      <c r="N56" s="23">
        <v>4</v>
      </c>
      <c r="O56" s="23">
        <v>1</v>
      </c>
      <c r="P56" s="23">
        <v>2</v>
      </c>
      <c r="Q56" s="23">
        <v>2</v>
      </c>
      <c r="R56" s="25">
        <v>12</v>
      </c>
    </row>
    <row r="57" spans="1:18" x14ac:dyDescent="0.25">
      <c r="A57" s="43">
        <v>42181</v>
      </c>
      <c r="B57" s="43"/>
      <c r="C57" s="22" t="s">
        <v>42</v>
      </c>
      <c r="D57" s="23">
        <v>3</v>
      </c>
      <c r="E57" s="23">
        <v>6</v>
      </c>
      <c r="F57" s="38">
        <f t="shared" si="9"/>
        <v>0.5</v>
      </c>
      <c r="G57" s="23">
        <v>0</v>
      </c>
      <c r="H57" s="23">
        <v>0</v>
      </c>
      <c r="I57" s="38">
        <f t="shared" si="10"/>
        <v>0</v>
      </c>
      <c r="J57" s="23">
        <v>0</v>
      </c>
      <c r="K57" s="23">
        <v>1</v>
      </c>
      <c r="L57" s="38">
        <f t="shared" si="11"/>
        <v>0</v>
      </c>
      <c r="M57" s="23">
        <v>5</v>
      </c>
      <c r="N57" s="23">
        <v>0</v>
      </c>
      <c r="O57" s="23">
        <v>0</v>
      </c>
      <c r="P57" s="23">
        <v>0</v>
      </c>
      <c r="Q57" s="23">
        <v>0</v>
      </c>
      <c r="R57" s="25">
        <v>6</v>
      </c>
    </row>
    <row r="58" spans="1:18" x14ac:dyDescent="0.25">
      <c r="A58" s="43">
        <v>42181</v>
      </c>
      <c r="B58" s="43"/>
      <c r="C58" s="22" t="s">
        <v>43</v>
      </c>
      <c r="D58" s="23">
        <v>6</v>
      </c>
      <c r="E58" s="23">
        <v>12</v>
      </c>
      <c r="F58" s="38">
        <f t="shared" si="9"/>
        <v>0.5</v>
      </c>
      <c r="G58" s="23">
        <v>4</v>
      </c>
      <c r="H58" s="23">
        <v>5</v>
      </c>
      <c r="I58" s="38">
        <f t="shared" si="10"/>
        <v>0.8</v>
      </c>
      <c r="J58" s="23">
        <v>0</v>
      </c>
      <c r="K58" s="23">
        <v>1</v>
      </c>
      <c r="L58" s="38">
        <f t="shared" si="11"/>
        <v>0</v>
      </c>
      <c r="M58" s="23">
        <v>8</v>
      </c>
      <c r="N58" s="23">
        <v>2</v>
      </c>
      <c r="O58" s="23">
        <v>1</v>
      </c>
      <c r="P58" s="23">
        <v>4</v>
      </c>
      <c r="Q58" s="23">
        <v>0</v>
      </c>
      <c r="R58" s="25">
        <v>16</v>
      </c>
    </row>
    <row r="59" spans="1:18" x14ac:dyDescent="0.25">
      <c r="A59" s="43">
        <v>42181</v>
      </c>
      <c r="B59" s="43"/>
      <c r="C59" s="22" t="s">
        <v>117</v>
      </c>
      <c r="D59" s="23">
        <v>2</v>
      </c>
      <c r="E59" s="23">
        <v>6</v>
      </c>
      <c r="F59" s="38">
        <f t="shared" si="9"/>
        <v>0.33333333333333331</v>
      </c>
      <c r="G59" s="23">
        <v>1</v>
      </c>
      <c r="H59" s="23">
        <v>2</v>
      </c>
      <c r="I59" s="38">
        <f t="shared" si="10"/>
        <v>0.5</v>
      </c>
      <c r="J59" s="23">
        <v>0</v>
      </c>
      <c r="K59" s="23">
        <v>0</v>
      </c>
      <c r="L59" s="38">
        <f t="shared" si="11"/>
        <v>0</v>
      </c>
      <c r="M59" s="23">
        <v>1</v>
      </c>
      <c r="N59" s="23">
        <v>4</v>
      </c>
      <c r="O59" s="23">
        <v>2</v>
      </c>
      <c r="P59" s="23">
        <v>2</v>
      </c>
      <c r="Q59" s="23">
        <v>0</v>
      </c>
      <c r="R59" s="25">
        <v>5</v>
      </c>
    </row>
    <row r="60" spans="1:18" x14ac:dyDescent="0.25">
      <c r="A60" s="43">
        <v>42182</v>
      </c>
      <c r="B60" s="43"/>
      <c r="C60" s="22" t="s">
        <v>85</v>
      </c>
      <c r="D60" s="23">
        <v>3</v>
      </c>
      <c r="E60" s="23">
        <v>9</v>
      </c>
      <c r="F60" s="38">
        <f t="shared" ref="F60:F88" si="12">IF(E60=0,0,D60/E60)</f>
        <v>0.33333333333333331</v>
      </c>
      <c r="G60" s="23">
        <v>1</v>
      </c>
      <c r="H60" s="23">
        <v>4</v>
      </c>
      <c r="I60" s="38">
        <f t="shared" ref="I60:I88" si="13">IF(H60=0,0,G60/H60)</f>
        <v>0.25</v>
      </c>
      <c r="J60" s="23">
        <v>2</v>
      </c>
      <c r="K60" s="23">
        <v>2</v>
      </c>
      <c r="L60" s="38">
        <f t="shared" ref="L60:L88" si="14">IF(K60=0,0,J60/K60)</f>
        <v>1</v>
      </c>
      <c r="M60" s="23">
        <v>0</v>
      </c>
      <c r="N60" s="23">
        <v>3</v>
      </c>
      <c r="O60" s="23">
        <v>2</v>
      </c>
      <c r="P60" s="23">
        <v>2</v>
      </c>
      <c r="Q60" s="23">
        <v>0</v>
      </c>
      <c r="R60" s="25">
        <v>9</v>
      </c>
    </row>
    <row r="61" spans="1:18" x14ac:dyDescent="0.25">
      <c r="A61" s="43">
        <v>42182</v>
      </c>
      <c r="B61" s="43"/>
      <c r="C61" s="22" t="s">
        <v>86</v>
      </c>
      <c r="D61" s="23">
        <v>1</v>
      </c>
      <c r="E61" s="23">
        <v>4</v>
      </c>
      <c r="F61" s="38">
        <f t="shared" si="12"/>
        <v>0.25</v>
      </c>
      <c r="G61" s="23">
        <v>0</v>
      </c>
      <c r="H61" s="23">
        <v>0</v>
      </c>
      <c r="I61" s="38">
        <f t="shared" si="13"/>
        <v>0</v>
      </c>
      <c r="J61" s="23">
        <v>0</v>
      </c>
      <c r="K61" s="23">
        <v>0</v>
      </c>
      <c r="L61" s="38">
        <f t="shared" si="14"/>
        <v>0</v>
      </c>
      <c r="M61" s="23">
        <v>5</v>
      </c>
      <c r="N61" s="23">
        <v>0</v>
      </c>
      <c r="O61" s="23">
        <v>0</v>
      </c>
      <c r="P61" s="23">
        <v>0</v>
      </c>
      <c r="Q61" s="23">
        <v>0</v>
      </c>
      <c r="R61" s="25">
        <v>2</v>
      </c>
    </row>
    <row r="62" spans="1:18" x14ac:dyDescent="0.25">
      <c r="A62" s="21">
        <v>42182</v>
      </c>
      <c r="B62" s="20"/>
      <c r="C62" s="15" t="s">
        <v>44</v>
      </c>
      <c r="D62" s="16">
        <v>3</v>
      </c>
      <c r="E62" s="16">
        <v>6</v>
      </c>
      <c r="F62" s="19">
        <f t="shared" si="12"/>
        <v>0.5</v>
      </c>
      <c r="G62" s="16">
        <v>0</v>
      </c>
      <c r="H62" s="16">
        <v>0</v>
      </c>
      <c r="I62" s="19">
        <f t="shared" si="13"/>
        <v>0</v>
      </c>
      <c r="J62" s="16">
        <v>2</v>
      </c>
      <c r="K62" s="16">
        <v>2</v>
      </c>
      <c r="L62" s="19">
        <f t="shared" si="14"/>
        <v>1</v>
      </c>
      <c r="M62" s="16">
        <v>1</v>
      </c>
      <c r="N62" s="16">
        <v>7</v>
      </c>
      <c r="O62" s="16">
        <v>1</v>
      </c>
      <c r="P62" s="16">
        <v>4</v>
      </c>
      <c r="Q62" s="16">
        <v>0</v>
      </c>
      <c r="R62" s="16">
        <v>8</v>
      </c>
    </row>
    <row r="63" spans="1:18" x14ac:dyDescent="0.25">
      <c r="A63" s="21">
        <v>42182</v>
      </c>
      <c r="B63" s="20"/>
      <c r="C63" s="15" t="s">
        <v>45</v>
      </c>
      <c r="D63" s="16">
        <v>3</v>
      </c>
      <c r="E63" s="16">
        <v>14</v>
      </c>
      <c r="F63" s="19">
        <f t="shared" si="12"/>
        <v>0.21428571428571427</v>
      </c>
      <c r="G63" s="16">
        <v>2</v>
      </c>
      <c r="H63" s="16">
        <v>6</v>
      </c>
      <c r="I63" s="19">
        <f t="shared" si="13"/>
        <v>0.33333333333333331</v>
      </c>
      <c r="J63" s="16">
        <v>0</v>
      </c>
      <c r="K63" s="16">
        <v>0</v>
      </c>
      <c r="L63" s="19">
        <f t="shared" si="14"/>
        <v>0</v>
      </c>
      <c r="M63" s="16">
        <v>4</v>
      </c>
      <c r="N63" s="16">
        <v>3</v>
      </c>
      <c r="O63" s="16">
        <v>5</v>
      </c>
      <c r="P63" s="16">
        <v>2</v>
      </c>
      <c r="Q63" s="16">
        <v>0</v>
      </c>
      <c r="R63" s="16">
        <v>8</v>
      </c>
    </row>
    <row r="64" spans="1:18" x14ac:dyDescent="0.25">
      <c r="A64" s="21">
        <v>42183</v>
      </c>
      <c r="B64" s="20"/>
      <c r="C64" s="15" t="s">
        <v>40</v>
      </c>
      <c r="D64" s="16">
        <v>7</v>
      </c>
      <c r="E64" s="16">
        <v>13</v>
      </c>
      <c r="F64" s="19">
        <f t="shared" si="12"/>
        <v>0.53846153846153844</v>
      </c>
      <c r="G64" s="16">
        <v>0</v>
      </c>
      <c r="H64" s="16">
        <v>0</v>
      </c>
      <c r="I64" s="19">
        <f t="shared" si="13"/>
        <v>0</v>
      </c>
      <c r="J64" s="16">
        <v>5</v>
      </c>
      <c r="K64" s="16">
        <v>6</v>
      </c>
      <c r="L64" s="19">
        <f t="shared" si="14"/>
        <v>0.83333333333333337</v>
      </c>
      <c r="M64" s="16">
        <v>10</v>
      </c>
      <c r="N64" s="16">
        <v>5</v>
      </c>
      <c r="O64" s="16">
        <v>0</v>
      </c>
      <c r="P64" s="16">
        <v>2</v>
      </c>
      <c r="Q64" s="16">
        <v>0</v>
      </c>
      <c r="R64" s="16">
        <v>19</v>
      </c>
    </row>
    <row r="65" spans="1:18" x14ac:dyDescent="0.25">
      <c r="A65" s="21">
        <v>42183</v>
      </c>
      <c r="B65" s="20"/>
      <c r="C65" s="15" t="s">
        <v>117</v>
      </c>
      <c r="D65" s="16">
        <v>1</v>
      </c>
      <c r="E65" s="16">
        <v>5</v>
      </c>
      <c r="F65" s="19">
        <f t="shared" si="12"/>
        <v>0.2</v>
      </c>
      <c r="G65" s="16">
        <v>1</v>
      </c>
      <c r="H65" s="16">
        <v>1</v>
      </c>
      <c r="I65" s="19">
        <f t="shared" si="13"/>
        <v>1</v>
      </c>
      <c r="J65" s="16">
        <v>0</v>
      </c>
      <c r="K65" s="16">
        <v>0</v>
      </c>
      <c r="L65" s="19">
        <f t="shared" si="14"/>
        <v>0</v>
      </c>
      <c r="M65" s="16">
        <v>3</v>
      </c>
      <c r="N65" s="16">
        <v>6</v>
      </c>
      <c r="O65" s="16">
        <v>0</v>
      </c>
      <c r="P65" s="16">
        <v>2</v>
      </c>
      <c r="Q65" s="16">
        <v>0</v>
      </c>
      <c r="R65" s="16">
        <v>3</v>
      </c>
    </row>
    <row r="66" spans="1:18" x14ac:dyDescent="0.25">
      <c r="A66" s="21">
        <v>42183</v>
      </c>
      <c r="B66" s="20"/>
      <c r="C66" s="15" t="s">
        <v>85</v>
      </c>
      <c r="D66" s="16">
        <v>1</v>
      </c>
      <c r="E66" s="16">
        <v>4</v>
      </c>
      <c r="F66" s="19">
        <f t="shared" si="12"/>
        <v>0.25</v>
      </c>
      <c r="G66" s="16">
        <v>0</v>
      </c>
      <c r="H66" s="16">
        <v>2</v>
      </c>
      <c r="I66" s="19">
        <f t="shared" si="13"/>
        <v>0</v>
      </c>
      <c r="J66" s="16">
        <v>0</v>
      </c>
      <c r="K66" s="16">
        <v>1</v>
      </c>
      <c r="L66" s="19">
        <f t="shared" si="14"/>
        <v>0</v>
      </c>
      <c r="M66" s="16">
        <v>0</v>
      </c>
      <c r="N66" s="16">
        <v>3</v>
      </c>
      <c r="O66" s="16">
        <v>1</v>
      </c>
      <c r="P66" s="16">
        <v>0</v>
      </c>
      <c r="Q66" s="16">
        <v>2</v>
      </c>
      <c r="R66" s="16">
        <v>2</v>
      </c>
    </row>
    <row r="67" spans="1:18" x14ac:dyDescent="0.25">
      <c r="A67" s="21">
        <v>42183</v>
      </c>
      <c r="B67" s="20"/>
      <c r="C67" s="15" t="s">
        <v>86</v>
      </c>
      <c r="D67" s="16">
        <v>7</v>
      </c>
      <c r="E67" s="16">
        <v>12</v>
      </c>
      <c r="F67" s="19">
        <f t="shared" si="12"/>
        <v>0.58333333333333337</v>
      </c>
      <c r="G67" s="16">
        <v>1</v>
      </c>
      <c r="H67" s="16">
        <v>2</v>
      </c>
      <c r="I67" s="19">
        <f t="shared" si="13"/>
        <v>0.5</v>
      </c>
      <c r="J67" s="16">
        <v>6</v>
      </c>
      <c r="K67" s="16">
        <v>6</v>
      </c>
      <c r="L67" s="19">
        <f t="shared" si="14"/>
        <v>1</v>
      </c>
      <c r="M67" s="16">
        <v>4</v>
      </c>
      <c r="N67" s="16">
        <v>3</v>
      </c>
      <c r="O67" s="16">
        <v>1</v>
      </c>
      <c r="P67" s="16">
        <v>1</v>
      </c>
      <c r="Q67" s="16">
        <v>0</v>
      </c>
      <c r="R67" s="16">
        <v>21</v>
      </c>
    </row>
    <row r="68" spans="1:18" x14ac:dyDescent="0.25">
      <c r="A68" s="21">
        <v>42183</v>
      </c>
      <c r="B68" s="20"/>
      <c r="C68" s="15" t="s">
        <v>42</v>
      </c>
      <c r="D68" s="16">
        <v>4</v>
      </c>
      <c r="E68" s="16">
        <v>6</v>
      </c>
      <c r="F68" s="19">
        <f t="shared" si="12"/>
        <v>0.66666666666666663</v>
      </c>
      <c r="G68" s="16">
        <v>0</v>
      </c>
      <c r="H68" s="16">
        <v>0</v>
      </c>
      <c r="I68" s="19">
        <f t="shared" si="13"/>
        <v>0</v>
      </c>
      <c r="J68" s="16">
        <v>0</v>
      </c>
      <c r="K68" s="16">
        <v>0</v>
      </c>
      <c r="L68" s="19">
        <f t="shared" si="14"/>
        <v>0</v>
      </c>
      <c r="M68" s="16">
        <v>9</v>
      </c>
      <c r="N68" s="16">
        <v>2</v>
      </c>
      <c r="O68" s="16">
        <v>0</v>
      </c>
      <c r="P68" s="16">
        <v>0</v>
      </c>
      <c r="Q68" s="16">
        <v>2</v>
      </c>
      <c r="R68" s="16">
        <v>8</v>
      </c>
    </row>
    <row r="69" spans="1:18" x14ac:dyDescent="0.25">
      <c r="A69" s="21">
        <v>42185</v>
      </c>
      <c r="B69" s="20"/>
      <c r="C69" s="15" t="s">
        <v>43</v>
      </c>
      <c r="D69" s="16">
        <v>2</v>
      </c>
      <c r="E69" s="16">
        <v>5</v>
      </c>
      <c r="F69" s="46">
        <f t="shared" si="12"/>
        <v>0.4</v>
      </c>
      <c r="G69" s="16">
        <v>0</v>
      </c>
      <c r="H69" s="16">
        <v>2</v>
      </c>
      <c r="I69" s="46">
        <f t="shared" si="13"/>
        <v>0</v>
      </c>
      <c r="J69" s="16">
        <v>0</v>
      </c>
      <c r="K69" s="16">
        <v>0</v>
      </c>
      <c r="L69" s="46">
        <f t="shared" si="14"/>
        <v>0</v>
      </c>
      <c r="M69" s="16">
        <v>4</v>
      </c>
      <c r="N69" s="16">
        <v>2</v>
      </c>
      <c r="O69" s="16">
        <v>0</v>
      </c>
      <c r="P69" s="16">
        <v>3</v>
      </c>
      <c r="Q69" s="16">
        <v>0</v>
      </c>
      <c r="R69" s="16">
        <v>4</v>
      </c>
    </row>
    <row r="70" spans="1:18" x14ac:dyDescent="0.25">
      <c r="A70" s="21">
        <v>42185</v>
      </c>
      <c r="B70" s="20"/>
      <c r="C70" s="15" t="s">
        <v>85</v>
      </c>
      <c r="D70" s="16">
        <v>3</v>
      </c>
      <c r="E70" s="16">
        <v>4</v>
      </c>
      <c r="F70" s="46">
        <f t="shared" si="12"/>
        <v>0.75</v>
      </c>
      <c r="G70" s="16">
        <v>2</v>
      </c>
      <c r="H70" s="16">
        <v>3</v>
      </c>
      <c r="I70" s="46">
        <f t="shared" si="13"/>
        <v>0.66666666666666663</v>
      </c>
      <c r="J70" s="16">
        <v>2</v>
      </c>
      <c r="K70" s="16">
        <v>2</v>
      </c>
      <c r="L70" s="46">
        <f t="shared" si="14"/>
        <v>1</v>
      </c>
      <c r="M70" s="16">
        <v>3</v>
      </c>
      <c r="N70" s="16">
        <v>3</v>
      </c>
      <c r="O70" s="16">
        <v>0</v>
      </c>
      <c r="P70" s="16">
        <v>0</v>
      </c>
      <c r="Q70" s="16">
        <v>0</v>
      </c>
      <c r="R70" s="16">
        <v>10</v>
      </c>
    </row>
    <row r="71" spans="1:18" x14ac:dyDescent="0.25">
      <c r="A71" s="21">
        <v>42185</v>
      </c>
      <c r="B71" s="20"/>
      <c r="C71" s="15" t="s">
        <v>86</v>
      </c>
      <c r="D71" s="16">
        <v>4</v>
      </c>
      <c r="E71" s="16">
        <v>9</v>
      </c>
      <c r="F71" s="46">
        <f t="shared" si="12"/>
        <v>0.44444444444444442</v>
      </c>
      <c r="G71" s="16">
        <v>0</v>
      </c>
      <c r="H71" s="16">
        <v>1</v>
      </c>
      <c r="I71" s="46">
        <f t="shared" si="13"/>
        <v>0</v>
      </c>
      <c r="J71" s="16">
        <v>5</v>
      </c>
      <c r="K71" s="16">
        <v>5</v>
      </c>
      <c r="L71" s="46">
        <f t="shared" si="14"/>
        <v>1</v>
      </c>
      <c r="M71" s="16">
        <v>3</v>
      </c>
      <c r="N71" s="16">
        <v>3</v>
      </c>
      <c r="O71" s="16">
        <v>0</v>
      </c>
      <c r="P71" s="16">
        <v>2</v>
      </c>
      <c r="Q71" s="16">
        <v>0</v>
      </c>
      <c r="R71" s="16">
        <v>13</v>
      </c>
    </row>
    <row r="72" spans="1:18" x14ac:dyDescent="0.25">
      <c r="A72" s="43">
        <v>42185</v>
      </c>
      <c r="B72" s="43"/>
      <c r="C72" s="22" t="s">
        <v>42</v>
      </c>
      <c r="D72" s="23">
        <v>2</v>
      </c>
      <c r="E72" s="23">
        <v>5</v>
      </c>
      <c r="F72" s="38">
        <f t="shared" si="12"/>
        <v>0.4</v>
      </c>
      <c r="G72" s="23">
        <v>0</v>
      </c>
      <c r="H72" s="23">
        <v>0</v>
      </c>
      <c r="I72" s="38">
        <f t="shared" si="13"/>
        <v>0</v>
      </c>
      <c r="J72" s="23">
        <v>2</v>
      </c>
      <c r="K72" s="23">
        <v>4</v>
      </c>
      <c r="L72" s="38">
        <f t="shared" si="14"/>
        <v>0.5</v>
      </c>
      <c r="M72" s="23">
        <v>7</v>
      </c>
      <c r="N72" s="23">
        <v>0</v>
      </c>
      <c r="O72" s="23">
        <v>0</v>
      </c>
      <c r="P72" s="23">
        <v>1</v>
      </c>
      <c r="Q72" s="23">
        <v>1</v>
      </c>
      <c r="R72" s="25">
        <v>6</v>
      </c>
    </row>
    <row r="73" spans="1:18" x14ac:dyDescent="0.25">
      <c r="A73" s="43">
        <v>42185</v>
      </c>
      <c r="B73" s="43"/>
      <c r="C73" s="22" t="s">
        <v>45</v>
      </c>
      <c r="D73" s="23">
        <v>0</v>
      </c>
      <c r="E73" s="23">
        <v>3</v>
      </c>
      <c r="F73" s="38">
        <f t="shared" si="12"/>
        <v>0</v>
      </c>
      <c r="G73" s="23">
        <v>0</v>
      </c>
      <c r="H73" s="23">
        <v>1</v>
      </c>
      <c r="I73" s="38">
        <f t="shared" si="13"/>
        <v>0</v>
      </c>
      <c r="J73" s="23">
        <v>0</v>
      </c>
      <c r="K73" s="23">
        <v>0</v>
      </c>
      <c r="L73" s="38">
        <f t="shared" si="14"/>
        <v>0</v>
      </c>
      <c r="M73" s="23">
        <v>3</v>
      </c>
      <c r="N73" s="23">
        <v>3</v>
      </c>
      <c r="O73" s="23">
        <v>1</v>
      </c>
      <c r="P73" s="23">
        <v>1</v>
      </c>
      <c r="Q73" s="23">
        <v>0</v>
      </c>
      <c r="R73" s="25">
        <v>0</v>
      </c>
    </row>
    <row r="74" spans="1:18" x14ac:dyDescent="0.25">
      <c r="A74" s="43">
        <v>42185</v>
      </c>
      <c r="B74" s="43"/>
      <c r="C74" s="22" t="s">
        <v>44</v>
      </c>
      <c r="D74" s="23">
        <v>3</v>
      </c>
      <c r="E74" s="23">
        <v>8</v>
      </c>
      <c r="F74" s="38">
        <f t="shared" si="12"/>
        <v>0.375</v>
      </c>
      <c r="G74" s="23">
        <v>0</v>
      </c>
      <c r="H74" s="23">
        <v>0</v>
      </c>
      <c r="I74" s="38">
        <f t="shared" si="13"/>
        <v>0</v>
      </c>
      <c r="J74" s="23">
        <v>3</v>
      </c>
      <c r="K74" s="23">
        <v>3</v>
      </c>
      <c r="L74" s="38">
        <f t="shared" si="14"/>
        <v>1</v>
      </c>
      <c r="M74" s="23">
        <v>2</v>
      </c>
      <c r="N74" s="23">
        <v>3</v>
      </c>
      <c r="O74" s="23">
        <v>1</v>
      </c>
      <c r="P74" s="23">
        <v>2</v>
      </c>
      <c r="Q74" s="23">
        <v>0</v>
      </c>
      <c r="R74" s="25">
        <v>9</v>
      </c>
    </row>
    <row r="75" spans="1:18" x14ac:dyDescent="0.25">
      <c r="A75" s="43">
        <v>42187</v>
      </c>
      <c r="B75" s="43"/>
      <c r="C75" s="22" t="s">
        <v>40</v>
      </c>
      <c r="D75" s="23">
        <v>5</v>
      </c>
      <c r="E75" s="23">
        <v>8</v>
      </c>
      <c r="F75" s="38">
        <f t="shared" si="12"/>
        <v>0.625</v>
      </c>
      <c r="G75" s="23">
        <v>0</v>
      </c>
      <c r="H75" s="23">
        <v>0</v>
      </c>
      <c r="I75" s="38">
        <f t="shared" si="13"/>
        <v>0</v>
      </c>
      <c r="J75" s="23">
        <v>2</v>
      </c>
      <c r="K75" s="23">
        <v>2</v>
      </c>
      <c r="L75" s="38">
        <f t="shared" si="14"/>
        <v>1</v>
      </c>
      <c r="M75" s="23">
        <v>8</v>
      </c>
      <c r="N75" s="23">
        <v>1</v>
      </c>
      <c r="O75" s="23">
        <v>0</v>
      </c>
      <c r="P75" s="23">
        <v>4</v>
      </c>
      <c r="Q75" s="23">
        <v>0</v>
      </c>
      <c r="R75" s="25">
        <v>12</v>
      </c>
    </row>
    <row r="76" spans="1:18" x14ac:dyDescent="0.25">
      <c r="A76" s="43">
        <v>42187</v>
      </c>
      <c r="B76" s="43"/>
      <c r="C76" s="22" t="s">
        <v>43</v>
      </c>
      <c r="D76" s="23">
        <v>2</v>
      </c>
      <c r="E76" s="23">
        <v>4</v>
      </c>
      <c r="F76" s="38">
        <f t="shared" si="12"/>
        <v>0.5</v>
      </c>
      <c r="G76" s="23">
        <v>0</v>
      </c>
      <c r="H76" s="23">
        <v>0</v>
      </c>
      <c r="I76" s="38">
        <f t="shared" si="13"/>
        <v>0</v>
      </c>
      <c r="J76" s="23">
        <v>0</v>
      </c>
      <c r="K76" s="23">
        <v>0</v>
      </c>
      <c r="L76" s="38">
        <f t="shared" si="14"/>
        <v>0</v>
      </c>
      <c r="M76" s="23">
        <v>0</v>
      </c>
      <c r="N76" s="23">
        <v>0</v>
      </c>
      <c r="O76" s="23">
        <v>2</v>
      </c>
      <c r="P76" s="23">
        <v>0</v>
      </c>
      <c r="Q76" s="23">
        <v>0</v>
      </c>
      <c r="R76" s="25">
        <v>4</v>
      </c>
    </row>
    <row r="77" spans="1:18" x14ac:dyDescent="0.25">
      <c r="A77" s="43">
        <v>42187</v>
      </c>
      <c r="B77" s="43"/>
      <c r="C77" s="22" t="s">
        <v>44</v>
      </c>
      <c r="D77" s="23">
        <v>6</v>
      </c>
      <c r="E77" s="23">
        <v>14</v>
      </c>
      <c r="F77" s="38">
        <f t="shared" si="12"/>
        <v>0.42857142857142855</v>
      </c>
      <c r="G77" s="23">
        <v>0</v>
      </c>
      <c r="H77" s="23">
        <v>0</v>
      </c>
      <c r="I77" s="38">
        <f t="shared" si="13"/>
        <v>0</v>
      </c>
      <c r="J77" s="23">
        <v>0</v>
      </c>
      <c r="K77" s="23">
        <v>0</v>
      </c>
      <c r="L77" s="38">
        <f t="shared" si="14"/>
        <v>0</v>
      </c>
      <c r="M77" s="23">
        <v>3</v>
      </c>
      <c r="N77" s="23">
        <v>13</v>
      </c>
      <c r="O77" s="23">
        <v>0</v>
      </c>
      <c r="P77" s="23">
        <v>2</v>
      </c>
      <c r="Q77" s="23">
        <v>0</v>
      </c>
      <c r="R77" s="25">
        <v>12</v>
      </c>
    </row>
    <row r="78" spans="1:18" x14ac:dyDescent="0.25">
      <c r="A78" s="43">
        <v>42187</v>
      </c>
      <c r="B78" s="43"/>
      <c r="C78" s="22" t="s">
        <v>117</v>
      </c>
      <c r="D78" s="23">
        <v>1</v>
      </c>
      <c r="E78" s="23">
        <v>8</v>
      </c>
      <c r="F78" s="38">
        <f t="shared" si="12"/>
        <v>0.125</v>
      </c>
      <c r="G78" s="23">
        <v>1</v>
      </c>
      <c r="H78" s="23">
        <v>5</v>
      </c>
      <c r="I78" s="38">
        <f t="shared" si="13"/>
        <v>0.2</v>
      </c>
      <c r="J78" s="23">
        <v>2</v>
      </c>
      <c r="K78" s="23">
        <v>2</v>
      </c>
      <c r="L78" s="38">
        <f t="shared" si="14"/>
        <v>1</v>
      </c>
      <c r="M78" s="23">
        <v>2</v>
      </c>
      <c r="N78" s="23">
        <v>5</v>
      </c>
      <c r="O78" s="23">
        <v>1</v>
      </c>
      <c r="P78" s="23">
        <v>0</v>
      </c>
      <c r="Q78" s="23">
        <v>0</v>
      </c>
      <c r="R78" s="25">
        <v>5</v>
      </c>
    </row>
    <row r="79" spans="1:18" x14ac:dyDescent="0.25">
      <c r="A79" s="43">
        <v>42187</v>
      </c>
      <c r="B79" s="43"/>
      <c r="C79" s="22" t="s">
        <v>42</v>
      </c>
      <c r="D79" s="23">
        <v>4</v>
      </c>
      <c r="E79" s="23">
        <v>8</v>
      </c>
      <c r="F79" s="38">
        <f t="shared" si="12"/>
        <v>0.5</v>
      </c>
      <c r="G79" s="23">
        <v>0</v>
      </c>
      <c r="H79" s="23">
        <v>0</v>
      </c>
      <c r="I79" s="38">
        <f t="shared" si="13"/>
        <v>0</v>
      </c>
      <c r="J79" s="23">
        <v>0</v>
      </c>
      <c r="K79" s="23">
        <v>0</v>
      </c>
      <c r="L79" s="38">
        <f t="shared" si="14"/>
        <v>0</v>
      </c>
      <c r="M79" s="23">
        <v>6</v>
      </c>
      <c r="N79" s="23">
        <v>0</v>
      </c>
      <c r="O79" s="23">
        <v>0</v>
      </c>
      <c r="P79" s="23">
        <v>2</v>
      </c>
      <c r="Q79" s="23">
        <v>0</v>
      </c>
      <c r="R79" s="25">
        <v>8</v>
      </c>
    </row>
    <row r="80" spans="1:18" x14ac:dyDescent="0.25">
      <c r="A80" s="43">
        <v>42187</v>
      </c>
      <c r="B80" s="43"/>
      <c r="C80" s="22" t="s">
        <v>45</v>
      </c>
      <c r="D80" s="23">
        <v>4</v>
      </c>
      <c r="E80" s="23">
        <v>7</v>
      </c>
      <c r="F80" s="38">
        <f t="shared" si="12"/>
        <v>0.5714285714285714</v>
      </c>
      <c r="G80" s="23">
        <v>2</v>
      </c>
      <c r="H80" s="23">
        <v>5</v>
      </c>
      <c r="I80" s="38">
        <f t="shared" si="13"/>
        <v>0.4</v>
      </c>
      <c r="J80" s="23">
        <v>1</v>
      </c>
      <c r="K80" s="23">
        <v>1</v>
      </c>
      <c r="L80" s="38">
        <f t="shared" si="14"/>
        <v>1</v>
      </c>
      <c r="M80" s="23">
        <v>4</v>
      </c>
      <c r="N80" s="23">
        <v>2</v>
      </c>
      <c r="O80" s="23">
        <v>0</v>
      </c>
      <c r="P80" s="23">
        <v>1</v>
      </c>
      <c r="Q80" s="23">
        <v>0</v>
      </c>
      <c r="R80" s="25">
        <v>11</v>
      </c>
    </row>
    <row r="81" spans="1:18" x14ac:dyDescent="0.25">
      <c r="A81" s="43">
        <v>42188</v>
      </c>
      <c r="B81" s="43"/>
      <c r="C81" s="22" t="s">
        <v>42</v>
      </c>
      <c r="D81" s="23">
        <v>4</v>
      </c>
      <c r="E81" s="23">
        <v>9</v>
      </c>
      <c r="F81" s="38">
        <f t="shared" si="12"/>
        <v>0.44444444444444442</v>
      </c>
      <c r="G81" s="23">
        <v>0</v>
      </c>
      <c r="H81" s="23">
        <v>0</v>
      </c>
      <c r="I81" s="38">
        <f t="shared" si="13"/>
        <v>0</v>
      </c>
      <c r="J81" s="23">
        <v>4</v>
      </c>
      <c r="K81" s="23">
        <v>7</v>
      </c>
      <c r="L81" s="38">
        <f t="shared" si="14"/>
        <v>0.5714285714285714</v>
      </c>
      <c r="M81" s="23">
        <v>10</v>
      </c>
      <c r="N81" s="23">
        <v>2</v>
      </c>
      <c r="O81" s="23">
        <v>0</v>
      </c>
      <c r="P81" s="23">
        <v>0</v>
      </c>
      <c r="Q81" s="23">
        <v>2</v>
      </c>
      <c r="R81" s="25">
        <v>12</v>
      </c>
    </row>
    <row r="82" spans="1:18" x14ac:dyDescent="0.25">
      <c r="A82" s="43">
        <v>42188</v>
      </c>
      <c r="B82" s="43"/>
      <c r="C82" s="22" t="s">
        <v>117</v>
      </c>
      <c r="D82" s="23">
        <v>2</v>
      </c>
      <c r="E82" s="23">
        <v>2</v>
      </c>
      <c r="F82" s="38">
        <f t="shared" si="12"/>
        <v>1</v>
      </c>
      <c r="G82" s="23">
        <v>0</v>
      </c>
      <c r="H82" s="23">
        <v>0</v>
      </c>
      <c r="I82" s="38">
        <f t="shared" si="13"/>
        <v>0</v>
      </c>
      <c r="J82" s="23">
        <v>5</v>
      </c>
      <c r="K82" s="23">
        <v>6</v>
      </c>
      <c r="L82" s="38">
        <f t="shared" si="14"/>
        <v>0.83333333333333337</v>
      </c>
      <c r="M82" s="23">
        <v>3</v>
      </c>
      <c r="N82" s="23">
        <v>3</v>
      </c>
      <c r="O82" s="23">
        <v>1</v>
      </c>
      <c r="P82" s="23">
        <v>0</v>
      </c>
      <c r="Q82" s="23">
        <v>0</v>
      </c>
      <c r="R82" s="25">
        <v>9</v>
      </c>
    </row>
    <row r="83" spans="1:18" x14ac:dyDescent="0.25">
      <c r="A83" s="43">
        <v>42188</v>
      </c>
      <c r="B83" s="43"/>
      <c r="C83" s="22" t="s">
        <v>85</v>
      </c>
      <c r="D83" s="23">
        <v>2</v>
      </c>
      <c r="E83" s="23">
        <v>7</v>
      </c>
      <c r="F83" s="38">
        <f t="shared" si="12"/>
        <v>0.2857142857142857</v>
      </c>
      <c r="G83" s="23">
        <v>1</v>
      </c>
      <c r="H83" s="23">
        <v>4</v>
      </c>
      <c r="I83" s="38">
        <f t="shared" si="13"/>
        <v>0.25</v>
      </c>
      <c r="J83" s="23">
        <v>0</v>
      </c>
      <c r="K83" s="23">
        <v>0</v>
      </c>
      <c r="L83" s="38">
        <f t="shared" si="14"/>
        <v>0</v>
      </c>
      <c r="M83" s="23">
        <v>1</v>
      </c>
      <c r="N83" s="23">
        <v>6</v>
      </c>
      <c r="O83" s="23">
        <v>0</v>
      </c>
      <c r="P83" s="23">
        <v>0</v>
      </c>
      <c r="Q83" s="23">
        <v>0</v>
      </c>
      <c r="R83" s="25">
        <v>5</v>
      </c>
    </row>
    <row r="84" spans="1:18" x14ac:dyDescent="0.25">
      <c r="A84" s="43">
        <v>42188</v>
      </c>
      <c r="B84" s="43"/>
      <c r="C84" s="22" t="s">
        <v>86</v>
      </c>
      <c r="D84" s="23">
        <v>3</v>
      </c>
      <c r="E84" s="23">
        <v>10</v>
      </c>
      <c r="F84" s="38">
        <f t="shared" si="12"/>
        <v>0.3</v>
      </c>
      <c r="G84" s="23">
        <v>1</v>
      </c>
      <c r="H84" s="23">
        <v>2</v>
      </c>
      <c r="I84" s="38">
        <f t="shared" si="13"/>
        <v>0.5</v>
      </c>
      <c r="J84" s="23">
        <v>0</v>
      </c>
      <c r="K84" s="23">
        <v>0</v>
      </c>
      <c r="L84" s="38">
        <f t="shared" si="14"/>
        <v>0</v>
      </c>
      <c r="M84" s="23">
        <v>3</v>
      </c>
      <c r="N84" s="23">
        <v>0</v>
      </c>
      <c r="O84" s="23">
        <v>1</v>
      </c>
      <c r="P84" s="23">
        <v>1</v>
      </c>
      <c r="Q84" s="23">
        <v>0</v>
      </c>
      <c r="R84" s="25">
        <v>7</v>
      </c>
    </row>
    <row r="85" spans="1:18" x14ac:dyDescent="0.25">
      <c r="A85" s="43">
        <v>42190</v>
      </c>
      <c r="B85" s="43"/>
      <c r="C85" s="22" t="s">
        <v>117</v>
      </c>
      <c r="D85" s="23">
        <v>4</v>
      </c>
      <c r="E85" s="23">
        <v>4</v>
      </c>
      <c r="F85" s="38">
        <f t="shared" si="12"/>
        <v>1</v>
      </c>
      <c r="G85" s="23">
        <v>1</v>
      </c>
      <c r="H85" s="23">
        <v>1</v>
      </c>
      <c r="I85" s="38">
        <f t="shared" si="13"/>
        <v>1</v>
      </c>
      <c r="J85" s="23">
        <v>0</v>
      </c>
      <c r="K85" s="23">
        <v>0</v>
      </c>
      <c r="L85" s="38">
        <f t="shared" si="14"/>
        <v>0</v>
      </c>
      <c r="M85" s="23">
        <v>1</v>
      </c>
      <c r="N85" s="23">
        <v>4</v>
      </c>
      <c r="O85" s="23">
        <v>1</v>
      </c>
      <c r="P85" s="23">
        <v>2</v>
      </c>
      <c r="Q85" s="23">
        <v>0</v>
      </c>
      <c r="R85" s="25">
        <v>9</v>
      </c>
    </row>
    <row r="86" spans="1:18" x14ac:dyDescent="0.25">
      <c r="A86" s="43">
        <v>42190</v>
      </c>
      <c r="B86" s="43"/>
      <c r="C86" s="22" t="s">
        <v>45</v>
      </c>
      <c r="D86" s="23">
        <v>5</v>
      </c>
      <c r="E86" s="23">
        <v>8</v>
      </c>
      <c r="F86" s="38">
        <f t="shared" si="12"/>
        <v>0.625</v>
      </c>
      <c r="G86" s="23">
        <v>2</v>
      </c>
      <c r="H86" s="23">
        <v>2</v>
      </c>
      <c r="I86" s="38">
        <f t="shared" si="13"/>
        <v>1</v>
      </c>
      <c r="J86" s="23">
        <v>0</v>
      </c>
      <c r="K86" s="23">
        <v>0</v>
      </c>
      <c r="L86" s="38">
        <f t="shared" si="14"/>
        <v>0</v>
      </c>
      <c r="M86" s="23">
        <v>2</v>
      </c>
      <c r="N86" s="23">
        <v>1</v>
      </c>
      <c r="O86" s="23">
        <v>0</v>
      </c>
      <c r="P86" s="23">
        <v>0</v>
      </c>
      <c r="Q86" s="23">
        <v>1</v>
      </c>
      <c r="R86" s="25">
        <v>12</v>
      </c>
    </row>
    <row r="87" spans="1:18" x14ac:dyDescent="0.25">
      <c r="A87" s="43">
        <v>42190</v>
      </c>
      <c r="B87" s="43"/>
      <c r="C87" s="22" t="s">
        <v>85</v>
      </c>
      <c r="D87" s="23">
        <v>1</v>
      </c>
      <c r="E87" s="23">
        <v>5</v>
      </c>
      <c r="F87" s="38">
        <f t="shared" si="12"/>
        <v>0.2</v>
      </c>
      <c r="G87" s="23">
        <v>1</v>
      </c>
      <c r="H87" s="23">
        <v>4</v>
      </c>
      <c r="I87" s="38">
        <f t="shared" si="13"/>
        <v>0.25</v>
      </c>
      <c r="J87" s="23">
        <v>0</v>
      </c>
      <c r="K87" s="23">
        <v>0</v>
      </c>
      <c r="L87" s="38">
        <f t="shared" si="14"/>
        <v>0</v>
      </c>
      <c r="M87" s="23">
        <v>4</v>
      </c>
      <c r="N87" s="23">
        <v>4</v>
      </c>
      <c r="O87" s="23">
        <v>0</v>
      </c>
      <c r="P87" s="23">
        <v>1</v>
      </c>
      <c r="Q87" s="23">
        <v>1</v>
      </c>
      <c r="R87" s="25">
        <v>3</v>
      </c>
    </row>
    <row r="88" spans="1:18" x14ac:dyDescent="0.25">
      <c r="A88" s="43">
        <v>42190</v>
      </c>
      <c r="B88" s="43"/>
      <c r="C88" s="22" t="s">
        <v>86</v>
      </c>
      <c r="D88" s="23">
        <v>4</v>
      </c>
      <c r="E88" s="23">
        <v>8</v>
      </c>
      <c r="F88" s="38">
        <f t="shared" si="12"/>
        <v>0.5</v>
      </c>
      <c r="G88" s="23">
        <v>0</v>
      </c>
      <c r="H88" s="23">
        <v>0</v>
      </c>
      <c r="I88" s="38">
        <f t="shared" si="13"/>
        <v>0</v>
      </c>
      <c r="J88" s="23">
        <v>4</v>
      </c>
      <c r="K88" s="23">
        <v>4</v>
      </c>
      <c r="L88" s="38">
        <f t="shared" si="14"/>
        <v>1</v>
      </c>
      <c r="M88" s="23">
        <v>5</v>
      </c>
      <c r="N88" s="23">
        <v>1</v>
      </c>
      <c r="O88" s="23">
        <v>0</v>
      </c>
      <c r="P88" s="23">
        <v>2</v>
      </c>
      <c r="Q88" s="23">
        <v>0</v>
      </c>
      <c r="R88" s="25">
        <v>12</v>
      </c>
    </row>
    <row r="89" spans="1:18" x14ac:dyDescent="0.25">
      <c r="A89" s="43">
        <v>42192</v>
      </c>
      <c r="B89" s="43"/>
      <c r="C89" s="22" t="s">
        <v>42</v>
      </c>
      <c r="D89" s="23">
        <v>1</v>
      </c>
      <c r="E89" s="23">
        <v>3</v>
      </c>
      <c r="F89" s="38">
        <f t="shared" ref="F89:F100" si="15">IF(E89=0,0,D89/E89)</f>
        <v>0.33333333333333331</v>
      </c>
      <c r="G89" s="23">
        <v>0</v>
      </c>
      <c r="H89" s="23">
        <v>0</v>
      </c>
      <c r="I89" s="38">
        <f t="shared" ref="I89:I100" si="16">IF(H89=0,0,G89/H89)</f>
        <v>0</v>
      </c>
      <c r="J89" s="23">
        <v>0</v>
      </c>
      <c r="K89" s="23">
        <v>1</v>
      </c>
      <c r="L89" s="38">
        <f t="shared" ref="L89:L100" si="17">IF(K89=0,0,J89/K89)</f>
        <v>0</v>
      </c>
      <c r="M89" s="23">
        <v>10</v>
      </c>
      <c r="N89" s="23">
        <v>4</v>
      </c>
      <c r="O89" s="23">
        <v>0</v>
      </c>
      <c r="P89" s="23">
        <v>2</v>
      </c>
      <c r="Q89" s="23">
        <v>2</v>
      </c>
      <c r="R89" s="25">
        <v>2</v>
      </c>
    </row>
    <row r="90" spans="1:18" x14ac:dyDescent="0.25">
      <c r="A90" s="43">
        <v>42193</v>
      </c>
      <c r="B90" s="43"/>
      <c r="C90" s="22" t="s">
        <v>85</v>
      </c>
      <c r="D90" s="23">
        <v>0</v>
      </c>
      <c r="E90" s="23">
        <v>0</v>
      </c>
      <c r="F90" s="38">
        <f t="shared" si="15"/>
        <v>0</v>
      </c>
      <c r="G90" s="23">
        <v>0</v>
      </c>
      <c r="H90" s="23">
        <v>0</v>
      </c>
      <c r="I90" s="38">
        <f t="shared" si="16"/>
        <v>0</v>
      </c>
      <c r="J90" s="23">
        <v>0</v>
      </c>
      <c r="K90" s="23">
        <v>0</v>
      </c>
      <c r="L90" s="38">
        <f t="shared" si="17"/>
        <v>0</v>
      </c>
      <c r="M90" s="23">
        <v>0</v>
      </c>
      <c r="N90" s="23">
        <v>0</v>
      </c>
      <c r="O90" s="23">
        <v>0</v>
      </c>
      <c r="P90" s="23">
        <v>1</v>
      </c>
      <c r="Q90" s="23">
        <v>0</v>
      </c>
      <c r="R90" s="25">
        <v>0</v>
      </c>
    </row>
    <row r="91" spans="1:18" x14ac:dyDescent="0.25">
      <c r="A91" s="43">
        <v>42193</v>
      </c>
      <c r="B91" s="43"/>
      <c r="C91" s="22" t="s">
        <v>86</v>
      </c>
      <c r="D91" s="23">
        <v>3</v>
      </c>
      <c r="E91" s="23">
        <v>7</v>
      </c>
      <c r="F91" s="38">
        <f t="shared" si="15"/>
        <v>0.42857142857142855</v>
      </c>
      <c r="G91" s="23">
        <v>1</v>
      </c>
      <c r="H91" s="23">
        <v>2</v>
      </c>
      <c r="I91" s="38">
        <f t="shared" si="16"/>
        <v>0.5</v>
      </c>
      <c r="J91" s="23">
        <v>8</v>
      </c>
      <c r="K91" s="23">
        <v>10</v>
      </c>
      <c r="L91" s="38">
        <f t="shared" si="17"/>
        <v>0.8</v>
      </c>
      <c r="M91" s="23">
        <v>1</v>
      </c>
      <c r="N91" s="23">
        <v>3</v>
      </c>
      <c r="O91" s="23">
        <v>0</v>
      </c>
      <c r="P91" s="23">
        <v>2</v>
      </c>
      <c r="Q91" s="23">
        <v>0</v>
      </c>
      <c r="R91" s="25">
        <v>15</v>
      </c>
    </row>
    <row r="92" spans="1:18" x14ac:dyDescent="0.25">
      <c r="A92" s="43">
        <v>42193</v>
      </c>
      <c r="B92" s="43"/>
      <c r="C92" s="22" t="s">
        <v>43</v>
      </c>
      <c r="D92" s="23">
        <v>7</v>
      </c>
      <c r="E92" s="23">
        <v>15</v>
      </c>
      <c r="F92" s="38">
        <f t="shared" si="15"/>
        <v>0.46666666666666667</v>
      </c>
      <c r="G92" s="23">
        <v>1</v>
      </c>
      <c r="H92" s="23">
        <v>4</v>
      </c>
      <c r="I92" s="38">
        <f t="shared" si="16"/>
        <v>0.25</v>
      </c>
      <c r="J92" s="23">
        <v>0</v>
      </c>
      <c r="K92" s="23">
        <v>0</v>
      </c>
      <c r="L92" s="38">
        <f t="shared" si="17"/>
        <v>0</v>
      </c>
      <c r="M92" s="23">
        <v>6</v>
      </c>
      <c r="N92" s="23">
        <v>3</v>
      </c>
      <c r="O92" s="23">
        <v>1</v>
      </c>
      <c r="P92" s="23">
        <v>0</v>
      </c>
      <c r="Q92" s="23">
        <v>1</v>
      </c>
      <c r="R92" s="25">
        <v>15</v>
      </c>
    </row>
    <row r="93" spans="1:18" x14ac:dyDescent="0.25">
      <c r="A93" s="21">
        <v>42193</v>
      </c>
      <c r="B93" s="20"/>
      <c r="C93" s="15" t="s">
        <v>117</v>
      </c>
      <c r="D93" s="16">
        <v>2</v>
      </c>
      <c r="E93" s="16">
        <v>5</v>
      </c>
      <c r="F93" s="51">
        <f t="shared" si="15"/>
        <v>0.4</v>
      </c>
      <c r="G93" s="16">
        <v>1</v>
      </c>
      <c r="H93" s="16">
        <v>2</v>
      </c>
      <c r="I93" s="51">
        <f t="shared" si="16"/>
        <v>0.5</v>
      </c>
      <c r="J93" s="16">
        <v>1</v>
      </c>
      <c r="K93" s="16">
        <v>2</v>
      </c>
      <c r="L93" s="51">
        <f t="shared" si="17"/>
        <v>0.5</v>
      </c>
      <c r="M93" s="16">
        <v>2</v>
      </c>
      <c r="N93" s="16">
        <v>2</v>
      </c>
      <c r="O93" s="16">
        <v>0</v>
      </c>
      <c r="P93" s="16">
        <v>1</v>
      </c>
      <c r="Q93" s="16">
        <v>0</v>
      </c>
      <c r="R93" s="16">
        <v>6</v>
      </c>
    </row>
    <row r="94" spans="1:18" x14ac:dyDescent="0.25">
      <c r="A94" s="21">
        <v>42193</v>
      </c>
      <c r="B94" s="20"/>
      <c r="C94" s="15" t="s">
        <v>44</v>
      </c>
      <c r="D94" s="16">
        <v>9</v>
      </c>
      <c r="E94" s="16">
        <v>14</v>
      </c>
      <c r="F94" s="51">
        <f t="shared" si="15"/>
        <v>0.6428571428571429</v>
      </c>
      <c r="G94" s="16">
        <v>0</v>
      </c>
      <c r="H94" s="16">
        <v>0</v>
      </c>
      <c r="I94" s="51">
        <f t="shared" si="16"/>
        <v>0</v>
      </c>
      <c r="J94" s="16">
        <v>4</v>
      </c>
      <c r="K94" s="16">
        <v>5</v>
      </c>
      <c r="L94" s="51">
        <f t="shared" si="17"/>
        <v>0.8</v>
      </c>
      <c r="M94" s="16">
        <v>1</v>
      </c>
      <c r="N94" s="16">
        <v>8</v>
      </c>
      <c r="O94" s="16">
        <v>1</v>
      </c>
      <c r="P94" s="16">
        <v>2</v>
      </c>
      <c r="Q94" s="16">
        <v>0</v>
      </c>
      <c r="R94" s="16">
        <v>22</v>
      </c>
    </row>
    <row r="95" spans="1:18" x14ac:dyDescent="0.25">
      <c r="A95" s="21">
        <v>42194</v>
      </c>
      <c r="B95" s="20"/>
      <c r="C95" s="15" t="s">
        <v>40</v>
      </c>
      <c r="D95" s="16">
        <v>11</v>
      </c>
      <c r="E95" s="16">
        <v>18</v>
      </c>
      <c r="F95" s="51">
        <f t="shared" si="15"/>
        <v>0.61111111111111116</v>
      </c>
      <c r="G95" s="16">
        <v>0</v>
      </c>
      <c r="H95" s="16">
        <v>2</v>
      </c>
      <c r="I95" s="51">
        <f t="shared" si="16"/>
        <v>0</v>
      </c>
      <c r="J95" s="16">
        <v>0</v>
      </c>
      <c r="K95" s="16">
        <v>0</v>
      </c>
      <c r="L95" s="51">
        <f t="shared" si="17"/>
        <v>0</v>
      </c>
      <c r="M95" s="16">
        <v>13</v>
      </c>
      <c r="N95" s="16">
        <v>6</v>
      </c>
      <c r="O95" s="16">
        <v>1</v>
      </c>
      <c r="P95" s="16">
        <v>5</v>
      </c>
      <c r="Q95" s="16">
        <v>1</v>
      </c>
      <c r="R95" s="16">
        <v>22</v>
      </c>
    </row>
    <row r="96" spans="1:18" x14ac:dyDescent="0.25">
      <c r="A96" s="21">
        <v>42195</v>
      </c>
      <c r="B96" s="20"/>
      <c r="C96" s="15" t="s">
        <v>44</v>
      </c>
      <c r="D96" s="16">
        <v>5</v>
      </c>
      <c r="E96" s="16">
        <v>15</v>
      </c>
      <c r="F96" s="51">
        <f t="shared" si="15"/>
        <v>0.33333333333333331</v>
      </c>
      <c r="G96" s="16">
        <v>0</v>
      </c>
      <c r="H96" s="16">
        <v>0</v>
      </c>
      <c r="I96" s="51">
        <f t="shared" si="16"/>
        <v>0</v>
      </c>
      <c r="J96" s="16">
        <v>2</v>
      </c>
      <c r="K96" s="16">
        <v>3</v>
      </c>
      <c r="L96" s="51">
        <f t="shared" si="17"/>
        <v>0.66666666666666663</v>
      </c>
      <c r="M96" s="16">
        <v>2</v>
      </c>
      <c r="N96" s="16">
        <v>0</v>
      </c>
      <c r="O96" s="16">
        <v>1</v>
      </c>
      <c r="P96" s="16">
        <v>3</v>
      </c>
      <c r="Q96" s="16">
        <v>0</v>
      </c>
      <c r="R96" s="16">
        <v>12</v>
      </c>
    </row>
    <row r="97" spans="1:18" x14ac:dyDescent="0.25">
      <c r="A97" s="21">
        <v>42195</v>
      </c>
      <c r="B97" s="20"/>
      <c r="C97" s="15" t="s">
        <v>43</v>
      </c>
      <c r="D97" s="16">
        <v>9</v>
      </c>
      <c r="E97" s="16">
        <v>16</v>
      </c>
      <c r="F97" s="51">
        <f t="shared" si="15"/>
        <v>0.5625</v>
      </c>
      <c r="G97" s="16">
        <v>2</v>
      </c>
      <c r="H97" s="16">
        <v>5</v>
      </c>
      <c r="I97" s="51">
        <f t="shared" si="16"/>
        <v>0.4</v>
      </c>
      <c r="J97" s="16">
        <v>5</v>
      </c>
      <c r="K97" s="16">
        <v>8</v>
      </c>
      <c r="L97" s="51">
        <f t="shared" si="17"/>
        <v>0.625</v>
      </c>
      <c r="M97" s="16">
        <v>6</v>
      </c>
      <c r="N97" s="16">
        <v>0</v>
      </c>
      <c r="O97" s="16">
        <v>1</v>
      </c>
      <c r="P97" s="16">
        <v>1</v>
      </c>
      <c r="Q97" s="16">
        <v>0</v>
      </c>
      <c r="R97" s="16">
        <v>25</v>
      </c>
    </row>
    <row r="98" spans="1:18" x14ac:dyDescent="0.25">
      <c r="A98" s="21">
        <v>42195</v>
      </c>
      <c r="B98" s="20"/>
      <c r="C98" s="15" t="s">
        <v>45</v>
      </c>
      <c r="D98" s="16">
        <v>1</v>
      </c>
      <c r="E98" s="16">
        <v>4</v>
      </c>
      <c r="F98" s="51">
        <f t="shared" si="15"/>
        <v>0.25</v>
      </c>
      <c r="G98" s="16">
        <v>0</v>
      </c>
      <c r="H98" s="16">
        <v>2</v>
      </c>
      <c r="I98" s="51">
        <f t="shared" si="16"/>
        <v>0</v>
      </c>
      <c r="J98" s="16">
        <v>2</v>
      </c>
      <c r="K98" s="16">
        <v>2</v>
      </c>
      <c r="L98" s="51">
        <f t="shared" si="17"/>
        <v>1</v>
      </c>
      <c r="M98" s="16">
        <v>4</v>
      </c>
      <c r="N98" s="16">
        <v>0</v>
      </c>
      <c r="O98" s="16">
        <v>1</v>
      </c>
      <c r="P98" s="16">
        <v>1</v>
      </c>
      <c r="Q98" s="16">
        <v>0</v>
      </c>
      <c r="R98" s="16">
        <v>4</v>
      </c>
    </row>
    <row r="99" spans="1:18" x14ac:dyDescent="0.25">
      <c r="A99" s="21">
        <v>42195</v>
      </c>
      <c r="B99" s="20"/>
      <c r="C99" s="15" t="s">
        <v>86</v>
      </c>
      <c r="D99" s="16">
        <v>4</v>
      </c>
      <c r="E99" s="16">
        <v>9</v>
      </c>
      <c r="F99" s="51">
        <f t="shared" si="15"/>
        <v>0.44444444444444442</v>
      </c>
      <c r="G99" s="16">
        <v>1</v>
      </c>
      <c r="H99" s="16">
        <v>3</v>
      </c>
      <c r="I99" s="51">
        <f t="shared" si="16"/>
        <v>0.33333333333333331</v>
      </c>
      <c r="J99" s="16">
        <v>0</v>
      </c>
      <c r="K99" s="16">
        <v>0</v>
      </c>
      <c r="L99" s="51">
        <f t="shared" si="17"/>
        <v>0</v>
      </c>
      <c r="M99" s="16">
        <v>2</v>
      </c>
      <c r="N99" s="16">
        <v>1</v>
      </c>
      <c r="O99" s="16">
        <v>0</v>
      </c>
      <c r="P99" s="16">
        <v>3</v>
      </c>
      <c r="Q99" s="16">
        <v>1</v>
      </c>
      <c r="R99" s="16">
        <v>9</v>
      </c>
    </row>
    <row r="100" spans="1:18" x14ac:dyDescent="0.25">
      <c r="A100" s="21">
        <v>42195</v>
      </c>
      <c r="B100" s="20"/>
      <c r="C100" s="15" t="s">
        <v>85</v>
      </c>
      <c r="D100" s="16">
        <v>2</v>
      </c>
      <c r="E100" s="16">
        <v>7</v>
      </c>
      <c r="F100" s="51">
        <f t="shared" si="15"/>
        <v>0.2857142857142857</v>
      </c>
      <c r="G100" s="16">
        <v>2</v>
      </c>
      <c r="H100" s="16">
        <v>4</v>
      </c>
      <c r="I100" s="51">
        <f t="shared" si="16"/>
        <v>0.5</v>
      </c>
      <c r="J100" s="16">
        <v>0</v>
      </c>
      <c r="K100" s="16">
        <v>0</v>
      </c>
      <c r="L100" s="51">
        <f t="shared" si="17"/>
        <v>0</v>
      </c>
      <c r="M100" s="16">
        <v>1</v>
      </c>
      <c r="N100" s="16">
        <v>2</v>
      </c>
      <c r="O100" s="16">
        <v>1</v>
      </c>
      <c r="P100" s="16">
        <v>1</v>
      </c>
      <c r="Q100" s="16">
        <v>0</v>
      </c>
      <c r="R100" s="16">
        <v>6</v>
      </c>
    </row>
    <row r="101" spans="1:18" x14ac:dyDescent="0.25">
      <c r="A101" s="21">
        <v>42196</v>
      </c>
      <c r="B101" s="20"/>
      <c r="C101" s="15" t="s">
        <v>117</v>
      </c>
      <c r="D101" s="16">
        <v>3</v>
      </c>
      <c r="E101" s="16">
        <v>7</v>
      </c>
      <c r="F101" s="55">
        <f t="shared" ref="F101:F106" si="18">IF(E101=0,0,D101/E101)</f>
        <v>0.42857142857142855</v>
      </c>
      <c r="G101" s="16">
        <v>3</v>
      </c>
      <c r="H101" s="16">
        <v>6</v>
      </c>
      <c r="I101" s="55">
        <f t="shared" ref="I101:I106" si="19">IF(H101=0,0,G101/H101)</f>
        <v>0.5</v>
      </c>
      <c r="J101" s="16">
        <v>0</v>
      </c>
      <c r="K101" s="16">
        <v>0</v>
      </c>
      <c r="L101" s="55">
        <f t="shared" ref="L101:L106" si="20">IF(K101=0,0,J101/K101)</f>
        <v>0</v>
      </c>
      <c r="M101" s="16">
        <v>5</v>
      </c>
      <c r="N101" s="16">
        <v>4</v>
      </c>
      <c r="O101" s="16">
        <v>0</v>
      </c>
      <c r="P101" s="16">
        <v>0</v>
      </c>
      <c r="Q101" s="16">
        <v>0</v>
      </c>
      <c r="R101" s="16">
        <v>9</v>
      </c>
    </row>
    <row r="102" spans="1:18" x14ac:dyDescent="0.25">
      <c r="A102" s="21">
        <v>42196</v>
      </c>
      <c r="B102" s="20"/>
      <c r="C102" s="15" t="s">
        <v>42</v>
      </c>
      <c r="D102" s="16">
        <v>2</v>
      </c>
      <c r="E102" s="16">
        <v>7</v>
      </c>
      <c r="F102" s="55">
        <f t="shared" si="18"/>
        <v>0.2857142857142857</v>
      </c>
      <c r="G102" s="16">
        <v>0</v>
      </c>
      <c r="H102" s="16">
        <v>0</v>
      </c>
      <c r="I102" s="55">
        <f t="shared" si="19"/>
        <v>0</v>
      </c>
      <c r="J102" s="16">
        <v>0</v>
      </c>
      <c r="K102" s="16">
        <v>0</v>
      </c>
      <c r="L102" s="55">
        <f t="shared" si="20"/>
        <v>0</v>
      </c>
      <c r="M102" s="16">
        <v>6</v>
      </c>
      <c r="N102" s="16">
        <v>1</v>
      </c>
      <c r="O102" s="16">
        <v>0</v>
      </c>
      <c r="P102" s="16">
        <v>1</v>
      </c>
      <c r="Q102" s="16">
        <v>1</v>
      </c>
      <c r="R102" s="16">
        <v>4</v>
      </c>
    </row>
    <row r="103" spans="1:18" x14ac:dyDescent="0.25">
      <c r="A103" s="21">
        <v>42197</v>
      </c>
      <c r="B103" s="20"/>
      <c r="C103" s="15" t="s">
        <v>86</v>
      </c>
      <c r="D103" s="16">
        <v>6</v>
      </c>
      <c r="E103" s="16">
        <v>14</v>
      </c>
      <c r="F103" s="55">
        <f t="shared" si="18"/>
        <v>0.42857142857142855</v>
      </c>
      <c r="G103" s="16">
        <v>2</v>
      </c>
      <c r="H103" s="16">
        <v>4</v>
      </c>
      <c r="I103" s="55">
        <f t="shared" si="19"/>
        <v>0.5</v>
      </c>
      <c r="J103" s="16">
        <v>2</v>
      </c>
      <c r="K103" s="16">
        <v>2</v>
      </c>
      <c r="L103" s="55">
        <f t="shared" si="20"/>
        <v>1</v>
      </c>
      <c r="M103" s="16">
        <v>0</v>
      </c>
      <c r="N103" s="16">
        <v>2</v>
      </c>
      <c r="O103" s="16">
        <v>0</v>
      </c>
      <c r="P103" s="16">
        <v>3</v>
      </c>
      <c r="Q103" s="16">
        <v>0</v>
      </c>
      <c r="R103" s="16">
        <v>16</v>
      </c>
    </row>
    <row r="104" spans="1:18" x14ac:dyDescent="0.25">
      <c r="A104" s="21">
        <v>42197</v>
      </c>
      <c r="B104" s="20"/>
      <c r="C104" s="15" t="s">
        <v>85</v>
      </c>
      <c r="D104" s="16">
        <v>1</v>
      </c>
      <c r="E104" s="16">
        <v>2</v>
      </c>
      <c r="F104" s="55">
        <f t="shared" si="18"/>
        <v>0.5</v>
      </c>
      <c r="G104" s="16">
        <v>1</v>
      </c>
      <c r="H104" s="16">
        <v>1</v>
      </c>
      <c r="I104" s="55">
        <f t="shared" si="19"/>
        <v>1</v>
      </c>
      <c r="J104" s="16">
        <v>0</v>
      </c>
      <c r="K104" s="16">
        <v>0</v>
      </c>
      <c r="L104" s="55">
        <f t="shared" si="20"/>
        <v>0</v>
      </c>
      <c r="M104" s="16">
        <v>1</v>
      </c>
      <c r="N104" s="16">
        <v>1</v>
      </c>
      <c r="O104" s="16">
        <v>0</v>
      </c>
      <c r="P104" s="16">
        <v>1</v>
      </c>
      <c r="Q104" s="16">
        <v>0</v>
      </c>
      <c r="R104" s="16">
        <v>3</v>
      </c>
    </row>
    <row r="105" spans="1:18" x14ac:dyDescent="0.25">
      <c r="A105" s="21">
        <v>42197</v>
      </c>
      <c r="B105" s="20"/>
      <c r="C105" s="15" t="s">
        <v>45</v>
      </c>
      <c r="D105" s="16">
        <v>3</v>
      </c>
      <c r="E105" s="16">
        <v>7</v>
      </c>
      <c r="F105" s="55">
        <f t="shared" si="18"/>
        <v>0.42857142857142855</v>
      </c>
      <c r="G105" s="16">
        <v>1</v>
      </c>
      <c r="H105" s="16">
        <v>3</v>
      </c>
      <c r="I105" s="55">
        <f t="shared" si="19"/>
        <v>0.33333333333333331</v>
      </c>
      <c r="J105" s="16">
        <v>2</v>
      </c>
      <c r="K105" s="16">
        <v>2</v>
      </c>
      <c r="L105" s="55">
        <f t="shared" si="20"/>
        <v>1</v>
      </c>
      <c r="M105" s="16">
        <v>3</v>
      </c>
      <c r="N105" s="16">
        <v>1</v>
      </c>
      <c r="O105" s="16">
        <v>1</v>
      </c>
      <c r="P105" s="16">
        <v>0</v>
      </c>
      <c r="Q105" s="16">
        <v>0</v>
      </c>
      <c r="R105" s="16">
        <v>9</v>
      </c>
    </row>
    <row r="106" spans="1:18" x14ac:dyDescent="0.25">
      <c r="A106" s="21">
        <v>42197</v>
      </c>
      <c r="B106" s="20"/>
      <c r="C106" s="15" t="s">
        <v>44</v>
      </c>
      <c r="D106" s="16">
        <v>2</v>
      </c>
      <c r="E106" s="16">
        <v>8</v>
      </c>
      <c r="F106" s="55">
        <f t="shared" si="18"/>
        <v>0.25</v>
      </c>
      <c r="G106" s="16">
        <v>0</v>
      </c>
      <c r="H106" s="16">
        <v>0</v>
      </c>
      <c r="I106" s="55">
        <f t="shared" si="19"/>
        <v>0</v>
      </c>
      <c r="J106" s="16">
        <v>1</v>
      </c>
      <c r="K106" s="16">
        <v>1</v>
      </c>
      <c r="L106" s="55">
        <f t="shared" si="20"/>
        <v>1</v>
      </c>
      <c r="M106" s="16">
        <v>3</v>
      </c>
      <c r="N106" s="16">
        <v>2</v>
      </c>
      <c r="O106" s="16">
        <v>0</v>
      </c>
      <c r="P106" s="16">
        <v>5</v>
      </c>
      <c r="Q106" s="16">
        <v>0</v>
      </c>
      <c r="R106" s="16">
        <v>5</v>
      </c>
    </row>
    <row r="107" spans="1:18" x14ac:dyDescent="0.25">
      <c r="A107" s="21">
        <v>42199</v>
      </c>
      <c r="B107" s="20"/>
      <c r="C107" s="15" t="s">
        <v>45</v>
      </c>
      <c r="D107" s="16">
        <v>1</v>
      </c>
      <c r="E107" s="16">
        <v>2</v>
      </c>
      <c r="F107" s="56">
        <f t="shared" ref="F107:F117" si="21">IF(E107=0,0,D107/E107)</f>
        <v>0.5</v>
      </c>
      <c r="G107" s="16">
        <v>0</v>
      </c>
      <c r="H107" s="16">
        <v>0</v>
      </c>
      <c r="I107" s="56">
        <f t="shared" ref="I107:I117" si="22">IF(H107=0,0,G107/H107)</f>
        <v>0</v>
      </c>
      <c r="J107" s="16">
        <v>2</v>
      </c>
      <c r="K107" s="16">
        <v>2</v>
      </c>
      <c r="L107" s="56">
        <f t="shared" ref="L107:L117" si="23">IF(K107=0,0,J107/K107)</f>
        <v>1</v>
      </c>
      <c r="M107" s="16">
        <v>2</v>
      </c>
      <c r="N107" s="16">
        <v>1</v>
      </c>
      <c r="O107" s="16">
        <v>0</v>
      </c>
      <c r="P107" s="16">
        <v>3</v>
      </c>
      <c r="Q107" s="16">
        <v>0</v>
      </c>
      <c r="R107" s="16">
        <v>4</v>
      </c>
    </row>
    <row r="108" spans="1:18" x14ac:dyDescent="0.25">
      <c r="A108" s="21">
        <v>42200</v>
      </c>
      <c r="B108" s="20"/>
      <c r="C108" s="15" t="s">
        <v>41</v>
      </c>
      <c r="D108" s="16">
        <v>4</v>
      </c>
      <c r="E108" s="16">
        <v>11</v>
      </c>
      <c r="F108" s="56">
        <f t="shared" si="21"/>
        <v>0.36363636363636365</v>
      </c>
      <c r="G108" s="16">
        <v>0</v>
      </c>
      <c r="H108" s="16">
        <v>3</v>
      </c>
      <c r="I108" s="56">
        <f t="shared" si="22"/>
        <v>0</v>
      </c>
      <c r="J108" s="16">
        <v>0</v>
      </c>
      <c r="K108" s="16">
        <v>0</v>
      </c>
      <c r="L108" s="56">
        <f t="shared" si="23"/>
        <v>0</v>
      </c>
      <c r="M108" s="16">
        <v>1</v>
      </c>
      <c r="N108" s="16">
        <v>3</v>
      </c>
      <c r="O108" s="16">
        <v>3</v>
      </c>
      <c r="P108" s="16">
        <v>4</v>
      </c>
      <c r="Q108" s="16">
        <v>0</v>
      </c>
      <c r="R108" s="16">
        <v>8</v>
      </c>
    </row>
    <row r="109" spans="1:18" x14ac:dyDescent="0.25">
      <c r="A109" s="21">
        <v>42200</v>
      </c>
      <c r="B109" s="20"/>
      <c r="C109" s="15" t="s">
        <v>86</v>
      </c>
      <c r="D109" s="16">
        <v>4</v>
      </c>
      <c r="E109" s="16">
        <v>12</v>
      </c>
      <c r="F109" s="56">
        <f t="shared" si="21"/>
        <v>0.33333333333333331</v>
      </c>
      <c r="G109" s="16">
        <v>1</v>
      </c>
      <c r="H109" s="16">
        <v>2</v>
      </c>
      <c r="I109" s="56">
        <f t="shared" si="22"/>
        <v>0.5</v>
      </c>
      <c r="J109" s="16">
        <v>4</v>
      </c>
      <c r="K109" s="16">
        <v>4</v>
      </c>
      <c r="L109" s="56">
        <f t="shared" si="23"/>
        <v>1</v>
      </c>
      <c r="M109" s="16">
        <v>4</v>
      </c>
      <c r="N109" s="16">
        <v>4</v>
      </c>
      <c r="O109" s="16">
        <v>2</v>
      </c>
      <c r="P109" s="16">
        <v>1</v>
      </c>
      <c r="Q109" s="16">
        <v>1</v>
      </c>
      <c r="R109" s="16">
        <v>13</v>
      </c>
    </row>
    <row r="110" spans="1:18" x14ac:dyDescent="0.25">
      <c r="A110" s="21">
        <v>42200</v>
      </c>
      <c r="B110" s="20"/>
      <c r="C110" s="15" t="s">
        <v>40</v>
      </c>
      <c r="D110" s="16">
        <v>6</v>
      </c>
      <c r="E110" s="16">
        <v>11</v>
      </c>
      <c r="F110" s="56">
        <f t="shared" si="21"/>
        <v>0.54545454545454541</v>
      </c>
      <c r="G110" s="16">
        <v>1</v>
      </c>
      <c r="H110" s="16">
        <v>1</v>
      </c>
      <c r="I110" s="56">
        <f t="shared" si="22"/>
        <v>1</v>
      </c>
      <c r="J110" s="16">
        <v>2</v>
      </c>
      <c r="K110" s="16">
        <v>2</v>
      </c>
      <c r="L110" s="56">
        <f t="shared" si="23"/>
        <v>1</v>
      </c>
      <c r="M110" s="16">
        <v>10</v>
      </c>
      <c r="N110" s="16">
        <v>0</v>
      </c>
      <c r="O110" s="16">
        <v>1</v>
      </c>
      <c r="P110" s="16">
        <v>3</v>
      </c>
      <c r="Q110" s="16">
        <v>3</v>
      </c>
      <c r="R110" s="16">
        <v>15</v>
      </c>
    </row>
    <row r="111" spans="1:18" x14ac:dyDescent="0.25">
      <c r="A111" s="43">
        <v>42200</v>
      </c>
      <c r="B111" s="43"/>
      <c r="C111" s="22" t="s">
        <v>44</v>
      </c>
      <c r="D111" s="23">
        <v>8</v>
      </c>
      <c r="E111" s="23">
        <v>12</v>
      </c>
      <c r="F111" s="38">
        <f t="shared" si="21"/>
        <v>0.66666666666666663</v>
      </c>
      <c r="G111" s="23">
        <v>0</v>
      </c>
      <c r="H111" s="23">
        <v>0</v>
      </c>
      <c r="I111" s="38">
        <f t="shared" si="22"/>
        <v>0</v>
      </c>
      <c r="J111" s="23">
        <v>2</v>
      </c>
      <c r="K111" s="23">
        <v>2</v>
      </c>
      <c r="L111" s="38">
        <f t="shared" si="23"/>
        <v>1</v>
      </c>
      <c r="M111" s="23">
        <v>3</v>
      </c>
      <c r="N111" s="23">
        <v>3</v>
      </c>
      <c r="O111" s="23">
        <v>1</v>
      </c>
      <c r="P111" s="23">
        <v>1</v>
      </c>
      <c r="Q111" s="23">
        <v>0</v>
      </c>
      <c r="R111" s="25">
        <v>18</v>
      </c>
    </row>
    <row r="112" spans="1:18" x14ac:dyDescent="0.25">
      <c r="A112" s="43">
        <v>42200</v>
      </c>
      <c r="B112" s="43"/>
      <c r="C112" s="22" t="s">
        <v>43</v>
      </c>
      <c r="D112" s="23">
        <v>4</v>
      </c>
      <c r="E112" s="23">
        <v>8</v>
      </c>
      <c r="F112" s="38">
        <f t="shared" si="21"/>
        <v>0.5</v>
      </c>
      <c r="G112" s="23">
        <v>2</v>
      </c>
      <c r="H112" s="23">
        <v>4</v>
      </c>
      <c r="I112" s="38">
        <f t="shared" si="22"/>
        <v>0.5</v>
      </c>
      <c r="J112" s="23">
        <v>1</v>
      </c>
      <c r="K112" s="23">
        <v>2</v>
      </c>
      <c r="L112" s="38">
        <f t="shared" si="23"/>
        <v>0.5</v>
      </c>
      <c r="M112" s="23">
        <v>2</v>
      </c>
      <c r="N112" s="23">
        <v>1</v>
      </c>
      <c r="O112" s="23">
        <v>3</v>
      </c>
      <c r="P112" s="23">
        <v>3</v>
      </c>
      <c r="Q112" s="23">
        <v>0</v>
      </c>
      <c r="R112" s="25">
        <v>11</v>
      </c>
    </row>
    <row r="113" spans="1:18" x14ac:dyDescent="0.25">
      <c r="A113" s="65">
        <v>42201</v>
      </c>
      <c r="B113" s="65"/>
      <c r="C113" s="66" t="s">
        <v>117</v>
      </c>
      <c r="D113" s="67">
        <v>2</v>
      </c>
      <c r="E113" s="67">
        <v>3</v>
      </c>
      <c r="F113" s="68">
        <f t="shared" si="21"/>
        <v>0.66666666666666663</v>
      </c>
      <c r="G113" s="67">
        <v>0</v>
      </c>
      <c r="H113" s="67">
        <v>0</v>
      </c>
      <c r="I113" s="68">
        <f t="shared" si="22"/>
        <v>0</v>
      </c>
      <c r="J113" s="67">
        <v>0</v>
      </c>
      <c r="K113" s="67">
        <v>0</v>
      </c>
      <c r="L113" s="68">
        <f t="shared" si="23"/>
        <v>0</v>
      </c>
      <c r="M113" s="67">
        <v>0</v>
      </c>
      <c r="N113" s="67">
        <v>1</v>
      </c>
      <c r="O113" s="67">
        <v>0</v>
      </c>
      <c r="P113" s="67">
        <v>0</v>
      </c>
      <c r="Q113" s="67">
        <v>0</v>
      </c>
      <c r="R113" s="69">
        <v>4</v>
      </c>
    </row>
    <row r="114" spans="1:18" x14ac:dyDescent="0.25">
      <c r="A114" s="43">
        <v>42202</v>
      </c>
      <c r="B114" s="43"/>
      <c r="C114" s="22" t="s">
        <v>42</v>
      </c>
      <c r="D114" s="23">
        <v>3</v>
      </c>
      <c r="E114" s="23">
        <v>6</v>
      </c>
      <c r="F114" s="38">
        <f t="shared" si="21"/>
        <v>0.5</v>
      </c>
      <c r="G114" s="23">
        <v>0</v>
      </c>
      <c r="H114" s="23">
        <v>0</v>
      </c>
      <c r="I114" s="38">
        <f t="shared" si="22"/>
        <v>0</v>
      </c>
      <c r="J114" s="23">
        <v>0</v>
      </c>
      <c r="K114" s="23">
        <v>0</v>
      </c>
      <c r="L114" s="38">
        <f t="shared" si="23"/>
        <v>0</v>
      </c>
      <c r="M114" s="23">
        <v>6</v>
      </c>
      <c r="N114" s="23">
        <v>0</v>
      </c>
      <c r="O114" s="23">
        <v>0</v>
      </c>
      <c r="P114" s="23">
        <v>1</v>
      </c>
      <c r="Q114" s="23">
        <v>1</v>
      </c>
      <c r="R114" s="25">
        <v>6</v>
      </c>
    </row>
    <row r="115" spans="1:18" x14ac:dyDescent="0.25">
      <c r="A115" s="43">
        <v>42202</v>
      </c>
      <c r="B115" s="43"/>
      <c r="C115" s="22" t="s">
        <v>41</v>
      </c>
      <c r="D115" s="23">
        <v>4</v>
      </c>
      <c r="E115" s="23">
        <v>18</v>
      </c>
      <c r="F115" s="38">
        <f t="shared" si="21"/>
        <v>0.22222222222222221</v>
      </c>
      <c r="G115" s="23">
        <v>0</v>
      </c>
      <c r="H115" s="23">
        <v>1</v>
      </c>
      <c r="I115" s="38">
        <f t="shared" si="22"/>
        <v>0</v>
      </c>
      <c r="J115" s="23">
        <v>6</v>
      </c>
      <c r="K115" s="23">
        <v>8</v>
      </c>
      <c r="L115" s="38">
        <f t="shared" si="23"/>
        <v>0.75</v>
      </c>
      <c r="M115" s="23">
        <v>5</v>
      </c>
      <c r="N115" s="23">
        <v>1</v>
      </c>
      <c r="O115" s="23">
        <v>2</v>
      </c>
      <c r="P115" s="23">
        <v>2</v>
      </c>
      <c r="Q115" s="23">
        <v>0</v>
      </c>
      <c r="R115" s="25">
        <v>14</v>
      </c>
    </row>
    <row r="116" spans="1:18" x14ac:dyDescent="0.25">
      <c r="A116" s="21">
        <v>42202</v>
      </c>
      <c r="B116" s="20"/>
      <c r="C116" s="15" t="s">
        <v>40</v>
      </c>
      <c r="D116" s="16">
        <v>4</v>
      </c>
      <c r="E116" s="16">
        <v>8</v>
      </c>
      <c r="F116" s="56">
        <f t="shared" si="21"/>
        <v>0.5</v>
      </c>
      <c r="G116" s="16">
        <v>0</v>
      </c>
      <c r="H116" s="16">
        <v>0</v>
      </c>
      <c r="I116" s="56">
        <f t="shared" si="22"/>
        <v>0</v>
      </c>
      <c r="J116" s="16">
        <v>2</v>
      </c>
      <c r="K116" s="16">
        <v>2</v>
      </c>
      <c r="L116" s="56">
        <f t="shared" si="23"/>
        <v>1</v>
      </c>
      <c r="M116" s="16">
        <v>5</v>
      </c>
      <c r="N116" s="16">
        <v>1</v>
      </c>
      <c r="O116" s="16">
        <v>1</v>
      </c>
      <c r="P116" s="16">
        <v>1</v>
      </c>
      <c r="Q116" s="16">
        <v>0</v>
      </c>
      <c r="R116" s="16">
        <v>10</v>
      </c>
    </row>
    <row r="117" spans="1:18" x14ac:dyDescent="0.25">
      <c r="A117" s="21">
        <v>42202</v>
      </c>
      <c r="B117" s="20"/>
      <c r="C117" s="15" t="s">
        <v>43</v>
      </c>
      <c r="D117" s="16">
        <v>3</v>
      </c>
      <c r="E117" s="16">
        <v>7</v>
      </c>
      <c r="F117" s="56">
        <f t="shared" si="21"/>
        <v>0.42857142857142855</v>
      </c>
      <c r="G117" s="16">
        <v>1</v>
      </c>
      <c r="H117" s="16">
        <v>3</v>
      </c>
      <c r="I117" s="56">
        <f t="shared" si="22"/>
        <v>0.33333333333333331</v>
      </c>
      <c r="J117" s="16">
        <v>4</v>
      </c>
      <c r="K117" s="16">
        <v>4</v>
      </c>
      <c r="L117" s="56">
        <f t="shared" si="23"/>
        <v>1</v>
      </c>
      <c r="M117" s="16">
        <v>2</v>
      </c>
      <c r="N117" s="16">
        <v>2</v>
      </c>
      <c r="O117" s="16">
        <v>1</v>
      </c>
      <c r="P117" s="16">
        <v>5</v>
      </c>
      <c r="Q117" s="16">
        <v>0</v>
      </c>
      <c r="R117" s="16">
        <v>11</v>
      </c>
    </row>
    <row r="118" spans="1:18" x14ac:dyDescent="0.25">
      <c r="A118" s="21">
        <v>42204</v>
      </c>
      <c r="B118" s="20"/>
      <c r="C118" s="15" t="s">
        <v>41</v>
      </c>
      <c r="D118" s="16">
        <v>5</v>
      </c>
      <c r="E118" s="16">
        <v>15</v>
      </c>
      <c r="F118" s="62">
        <f t="shared" ref="F118:F145" si="24">IF(E118=0,0,D118/E118)</f>
        <v>0.33333333333333331</v>
      </c>
      <c r="G118" s="16">
        <v>1</v>
      </c>
      <c r="H118" s="16">
        <v>5</v>
      </c>
      <c r="I118" s="62">
        <f t="shared" ref="I118:I145" si="25">IF(H118=0,0,G118/H118)</f>
        <v>0.2</v>
      </c>
      <c r="J118" s="16">
        <v>1</v>
      </c>
      <c r="K118" s="16">
        <v>1</v>
      </c>
      <c r="L118" s="62">
        <f t="shared" ref="L118:L145" si="26">IF(K118=0,0,J118/K118)</f>
        <v>1</v>
      </c>
      <c r="M118" s="16">
        <v>7</v>
      </c>
      <c r="N118" s="16">
        <v>4</v>
      </c>
      <c r="O118" s="16">
        <v>0</v>
      </c>
      <c r="P118" s="16">
        <v>1</v>
      </c>
      <c r="Q118" s="16">
        <v>0</v>
      </c>
      <c r="R118" s="16">
        <v>12</v>
      </c>
    </row>
    <row r="119" spans="1:18" x14ac:dyDescent="0.25">
      <c r="A119" s="21">
        <v>42204</v>
      </c>
      <c r="B119" s="20"/>
      <c r="C119" s="15" t="s">
        <v>42</v>
      </c>
      <c r="D119" s="16">
        <v>2</v>
      </c>
      <c r="E119" s="16">
        <v>4</v>
      </c>
      <c r="F119" s="62">
        <f t="shared" si="24"/>
        <v>0.5</v>
      </c>
      <c r="G119" s="16">
        <v>0</v>
      </c>
      <c r="H119" s="16">
        <v>0</v>
      </c>
      <c r="I119" s="62">
        <f t="shared" si="25"/>
        <v>0</v>
      </c>
      <c r="J119" s="16">
        <v>0</v>
      </c>
      <c r="K119" s="16">
        <v>0</v>
      </c>
      <c r="L119" s="62">
        <f t="shared" si="26"/>
        <v>0</v>
      </c>
      <c r="M119" s="16">
        <v>7</v>
      </c>
      <c r="N119" s="16">
        <v>3</v>
      </c>
      <c r="O119" s="16">
        <v>1</v>
      </c>
      <c r="P119" s="16">
        <v>5</v>
      </c>
      <c r="Q119" s="16">
        <v>2</v>
      </c>
      <c r="R119" s="16">
        <v>4</v>
      </c>
    </row>
    <row r="120" spans="1:18" x14ac:dyDescent="0.25">
      <c r="A120" s="21">
        <v>42204</v>
      </c>
      <c r="B120" s="20"/>
      <c r="C120" s="15" t="s">
        <v>44</v>
      </c>
      <c r="D120" s="16">
        <v>5</v>
      </c>
      <c r="E120" s="16">
        <v>11</v>
      </c>
      <c r="F120" s="62">
        <f t="shared" si="24"/>
        <v>0.45454545454545453</v>
      </c>
      <c r="G120" s="16">
        <v>0</v>
      </c>
      <c r="H120" s="16">
        <v>1</v>
      </c>
      <c r="I120" s="62">
        <f t="shared" si="25"/>
        <v>0</v>
      </c>
      <c r="J120" s="16">
        <v>3</v>
      </c>
      <c r="K120" s="16">
        <v>4</v>
      </c>
      <c r="L120" s="62">
        <f t="shared" si="26"/>
        <v>0.75</v>
      </c>
      <c r="M120" s="16">
        <v>3</v>
      </c>
      <c r="N120" s="16">
        <v>2</v>
      </c>
      <c r="O120" s="16">
        <v>1</v>
      </c>
      <c r="P120" s="16">
        <v>2</v>
      </c>
      <c r="Q120" s="16">
        <v>0</v>
      </c>
      <c r="R120" s="16">
        <v>13</v>
      </c>
    </row>
    <row r="121" spans="1:18" x14ac:dyDescent="0.25">
      <c r="A121" s="21">
        <v>42204</v>
      </c>
      <c r="B121" s="20"/>
      <c r="C121" s="15" t="s">
        <v>55</v>
      </c>
      <c r="D121" s="16">
        <v>1</v>
      </c>
      <c r="E121" s="16">
        <v>5</v>
      </c>
      <c r="F121" s="62">
        <f t="shared" si="24"/>
        <v>0.2</v>
      </c>
      <c r="G121" s="16">
        <v>0</v>
      </c>
      <c r="H121" s="16">
        <v>3</v>
      </c>
      <c r="I121" s="62">
        <f t="shared" si="25"/>
        <v>0</v>
      </c>
      <c r="J121" s="16">
        <v>0</v>
      </c>
      <c r="K121" s="16">
        <v>0</v>
      </c>
      <c r="L121" s="62">
        <f t="shared" si="26"/>
        <v>0</v>
      </c>
      <c r="M121" s="16">
        <v>3</v>
      </c>
      <c r="N121" s="16">
        <v>2</v>
      </c>
      <c r="O121" s="16">
        <v>0</v>
      </c>
      <c r="P121" s="16">
        <v>2</v>
      </c>
      <c r="Q121" s="16">
        <v>0</v>
      </c>
      <c r="R121" s="16">
        <v>2</v>
      </c>
    </row>
    <row r="122" spans="1:18" x14ac:dyDescent="0.25">
      <c r="A122" s="21">
        <v>42204</v>
      </c>
      <c r="B122" s="20"/>
      <c r="C122" s="15" t="s">
        <v>40</v>
      </c>
      <c r="D122" s="16">
        <v>8</v>
      </c>
      <c r="E122" s="16">
        <v>15</v>
      </c>
      <c r="F122" s="62">
        <f t="shared" si="24"/>
        <v>0.53333333333333333</v>
      </c>
      <c r="G122" s="16">
        <v>1</v>
      </c>
      <c r="H122" s="16">
        <v>1</v>
      </c>
      <c r="I122" s="62">
        <f t="shared" si="25"/>
        <v>1</v>
      </c>
      <c r="J122" s="16">
        <v>3</v>
      </c>
      <c r="K122" s="16">
        <v>4</v>
      </c>
      <c r="L122" s="62">
        <f t="shared" si="26"/>
        <v>0.75</v>
      </c>
      <c r="M122" s="16">
        <v>8</v>
      </c>
      <c r="N122" s="16">
        <v>3</v>
      </c>
      <c r="O122" s="16">
        <v>0</v>
      </c>
      <c r="P122" s="16">
        <v>2</v>
      </c>
      <c r="Q122" s="16">
        <v>2</v>
      </c>
      <c r="R122" s="16">
        <v>20</v>
      </c>
    </row>
    <row r="123" spans="1:18" x14ac:dyDescent="0.25">
      <c r="A123" s="21">
        <v>42206</v>
      </c>
      <c r="B123" s="20"/>
      <c r="C123" s="15" t="s">
        <v>43</v>
      </c>
      <c r="D123" s="16">
        <v>3</v>
      </c>
      <c r="E123" s="16">
        <v>9</v>
      </c>
      <c r="F123" s="70">
        <f t="shared" si="24"/>
        <v>0.33333333333333331</v>
      </c>
      <c r="G123" s="16">
        <v>1</v>
      </c>
      <c r="H123" s="16">
        <v>3</v>
      </c>
      <c r="I123" s="70">
        <f t="shared" si="25"/>
        <v>0.33333333333333331</v>
      </c>
      <c r="J123" s="16">
        <v>0</v>
      </c>
      <c r="K123" s="16">
        <v>0</v>
      </c>
      <c r="L123" s="70">
        <f t="shared" si="26"/>
        <v>0</v>
      </c>
      <c r="M123" s="16">
        <v>0</v>
      </c>
      <c r="N123" s="16">
        <v>0</v>
      </c>
      <c r="O123" s="16">
        <v>1</v>
      </c>
      <c r="P123" s="16">
        <v>0</v>
      </c>
      <c r="Q123" s="16">
        <v>0</v>
      </c>
      <c r="R123" s="16">
        <v>7</v>
      </c>
    </row>
    <row r="124" spans="1:18" x14ac:dyDescent="0.25">
      <c r="A124" s="43">
        <v>42206</v>
      </c>
      <c r="B124" s="43"/>
      <c r="C124" s="22" t="s">
        <v>44</v>
      </c>
      <c r="D124" s="23">
        <v>6</v>
      </c>
      <c r="E124" s="23">
        <v>8</v>
      </c>
      <c r="F124" s="38">
        <f t="shared" si="24"/>
        <v>0.75</v>
      </c>
      <c r="G124" s="23">
        <v>0</v>
      </c>
      <c r="H124" s="23">
        <v>0</v>
      </c>
      <c r="I124" s="38">
        <f t="shared" si="25"/>
        <v>0</v>
      </c>
      <c r="J124" s="23">
        <v>6</v>
      </c>
      <c r="K124" s="23">
        <v>7</v>
      </c>
      <c r="L124" s="38">
        <f t="shared" si="26"/>
        <v>0.8571428571428571</v>
      </c>
      <c r="M124" s="23">
        <v>3</v>
      </c>
      <c r="N124" s="23">
        <v>4</v>
      </c>
      <c r="O124" s="23">
        <v>1</v>
      </c>
      <c r="P124" s="23">
        <v>5</v>
      </c>
      <c r="Q124" s="23">
        <v>0</v>
      </c>
      <c r="R124" s="25">
        <v>18</v>
      </c>
    </row>
    <row r="125" spans="1:18" x14ac:dyDescent="0.25">
      <c r="A125" s="43">
        <v>42206</v>
      </c>
      <c r="B125" s="43"/>
      <c r="C125" s="22" t="s">
        <v>45</v>
      </c>
      <c r="D125" s="23">
        <v>2</v>
      </c>
      <c r="E125" s="23">
        <v>4</v>
      </c>
      <c r="F125" s="38">
        <f t="shared" si="24"/>
        <v>0.5</v>
      </c>
      <c r="G125" s="23">
        <v>0</v>
      </c>
      <c r="H125" s="23">
        <v>0</v>
      </c>
      <c r="I125" s="38">
        <f t="shared" si="25"/>
        <v>0</v>
      </c>
      <c r="J125" s="23">
        <v>0</v>
      </c>
      <c r="K125" s="23">
        <v>0</v>
      </c>
      <c r="L125" s="38">
        <f t="shared" si="26"/>
        <v>0</v>
      </c>
      <c r="M125" s="23">
        <v>5</v>
      </c>
      <c r="N125" s="23">
        <v>1</v>
      </c>
      <c r="O125" s="23">
        <v>0</v>
      </c>
      <c r="P125" s="23">
        <v>0</v>
      </c>
      <c r="Q125" s="23">
        <v>0</v>
      </c>
      <c r="R125" s="25">
        <v>4</v>
      </c>
    </row>
    <row r="126" spans="1:18" x14ac:dyDescent="0.25">
      <c r="A126" s="43">
        <v>42206</v>
      </c>
      <c r="B126" s="43"/>
      <c r="C126" s="22" t="s">
        <v>40</v>
      </c>
      <c r="D126" s="23">
        <v>6</v>
      </c>
      <c r="E126" s="23">
        <v>11</v>
      </c>
      <c r="F126" s="38">
        <f t="shared" si="24"/>
        <v>0.54545454545454541</v>
      </c>
      <c r="G126" s="23">
        <v>0</v>
      </c>
      <c r="H126" s="23">
        <v>0</v>
      </c>
      <c r="I126" s="38">
        <f t="shared" si="25"/>
        <v>0</v>
      </c>
      <c r="J126" s="23">
        <v>6</v>
      </c>
      <c r="K126" s="23">
        <v>8</v>
      </c>
      <c r="L126" s="38">
        <f t="shared" si="26"/>
        <v>0.75</v>
      </c>
      <c r="M126" s="23">
        <v>3</v>
      </c>
      <c r="N126" s="23">
        <v>1</v>
      </c>
      <c r="O126" s="23">
        <v>0</v>
      </c>
      <c r="P126" s="23">
        <v>2</v>
      </c>
      <c r="Q126" s="23">
        <v>2</v>
      </c>
      <c r="R126" s="25">
        <v>18</v>
      </c>
    </row>
    <row r="127" spans="1:18" x14ac:dyDescent="0.25">
      <c r="A127" s="43">
        <v>42206</v>
      </c>
      <c r="B127" s="43"/>
      <c r="C127" s="22" t="s">
        <v>42</v>
      </c>
      <c r="D127" s="23">
        <v>2</v>
      </c>
      <c r="E127" s="23">
        <v>11</v>
      </c>
      <c r="F127" s="38">
        <f t="shared" si="24"/>
        <v>0.18181818181818182</v>
      </c>
      <c r="G127" s="23">
        <v>0</v>
      </c>
      <c r="H127" s="23">
        <v>0</v>
      </c>
      <c r="I127" s="38">
        <f t="shared" si="25"/>
        <v>0</v>
      </c>
      <c r="J127" s="23">
        <v>1</v>
      </c>
      <c r="K127" s="23">
        <v>2</v>
      </c>
      <c r="L127" s="38">
        <f t="shared" si="26"/>
        <v>0.5</v>
      </c>
      <c r="M127" s="23">
        <v>19</v>
      </c>
      <c r="N127" s="23">
        <v>1</v>
      </c>
      <c r="O127" s="23">
        <v>2</v>
      </c>
      <c r="P127" s="23">
        <v>0</v>
      </c>
      <c r="Q127" s="23">
        <v>2</v>
      </c>
      <c r="R127" s="25">
        <v>5</v>
      </c>
    </row>
    <row r="128" spans="1:18" x14ac:dyDescent="0.25">
      <c r="A128" s="43">
        <v>42206</v>
      </c>
      <c r="B128" s="43"/>
      <c r="C128" s="22" t="s">
        <v>41</v>
      </c>
      <c r="D128" s="23">
        <v>5</v>
      </c>
      <c r="E128" s="23">
        <v>11</v>
      </c>
      <c r="F128" s="38">
        <f t="shared" si="24"/>
        <v>0.45454545454545453</v>
      </c>
      <c r="G128" s="23">
        <v>0</v>
      </c>
      <c r="H128" s="23">
        <v>4</v>
      </c>
      <c r="I128" s="38">
        <f t="shared" si="25"/>
        <v>0</v>
      </c>
      <c r="J128" s="23">
        <v>1</v>
      </c>
      <c r="K128" s="23">
        <v>1</v>
      </c>
      <c r="L128" s="38">
        <f t="shared" si="26"/>
        <v>1</v>
      </c>
      <c r="M128" s="23">
        <v>3</v>
      </c>
      <c r="N128" s="23">
        <v>3</v>
      </c>
      <c r="O128" s="23">
        <v>0</v>
      </c>
      <c r="P128" s="23">
        <v>5</v>
      </c>
      <c r="Q128" s="23">
        <v>0</v>
      </c>
      <c r="R128" s="25">
        <v>11</v>
      </c>
    </row>
    <row r="129" spans="1:18" x14ac:dyDescent="0.25">
      <c r="A129" s="72">
        <v>42207</v>
      </c>
      <c r="B129" s="43"/>
      <c r="C129" s="22" t="s">
        <v>55</v>
      </c>
      <c r="D129" s="23">
        <v>1</v>
      </c>
      <c r="E129" s="23">
        <v>6</v>
      </c>
      <c r="F129" s="38">
        <f t="shared" si="24"/>
        <v>0.16666666666666666</v>
      </c>
      <c r="G129" s="23">
        <v>0</v>
      </c>
      <c r="H129" s="23">
        <v>1</v>
      </c>
      <c r="I129" s="38">
        <f t="shared" si="25"/>
        <v>0</v>
      </c>
      <c r="J129" s="23">
        <v>0</v>
      </c>
      <c r="K129" s="23">
        <v>0</v>
      </c>
      <c r="L129" s="38">
        <f t="shared" si="26"/>
        <v>0</v>
      </c>
      <c r="M129" s="23">
        <v>2</v>
      </c>
      <c r="N129" s="23">
        <v>0</v>
      </c>
      <c r="O129" s="23">
        <v>1</v>
      </c>
      <c r="P129" s="23">
        <v>1</v>
      </c>
      <c r="Q129" s="23">
        <v>0</v>
      </c>
      <c r="R129" s="25">
        <v>2</v>
      </c>
    </row>
    <row r="130" spans="1:18" x14ac:dyDescent="0.25">
      <c r="A130" s="72">
        <v>42207</v>
      </c>
      <c r="B130" s="43"/>
      <c r="C130" s="22" t="s">
        <v>117</v>
      </c>
      <c r="D130" s="23">
        <v>1</v>
      </c>
      <c r="E130" s="23">
        <v>5</v>
      </c>
      <c r="F130" s="38">
        <f t="shared" si="24"/>
        <v>0.2</v>
      </c>
      <c r="G130" s="23">
        <v>0</v>
      </c>
      <c r="H130" s="23">
        <v>0</v>
      </c>
      <c r="I130" s="38">
        <f t="shared" si="25"/>
        <v>0</v>
      </c>
      <c r="J130" s="23">
        <v>0</v>
      </c>
      <c r="K130" s="23">
        <v>0</v>
      </c>
      <c r="L130" s="38">
        <f t="shared" si="26"/>
        <v>0</v>
      </c>
      <c r="M130" s="23">
        <v>4</v>
      </c>
      <c r="N130" s="23">
        <v>2</v>
      </c>
      <c r="O130" s="23">
        <v>1</v>
      </c>
      <c r="P130" s="23">
        <v>2</v>
      </c>
      <c r="Q130" s="23">
        <v>0</v>
      </c>
      <c r="R130" s="25">
        <v>2</v>
      </c>
    </row>
    <row r="131" spans="1:18" x14ac:dyDescent="0.25">
      <c r="A131" s="72">
        <v>42207</v>
      </c>
      <c r="B131" s="43"/>
      <c r="C131" s="22" t="s">
        <v>151</v>
      </c>
      <c r="D131" s="23">
        <v>4</v>
      </c>
      <c r="E131" s="23">
        <v>5</v>
      </c>
      <c r="F131" s="38">
        <f t="shared" si="24"/>
        <v>0.8</v>
      </c>
      <c r="G131" s="23">
        <v>0</v>
      </c>
      <c r="H131" s="23">
        <v>0</v>
      </c>
      <c r="I131" s="38">
        <f t="shared" si="25"/>
        <v>0</v>
      </c>
      <c r="J131" s="23">
        <v>2</v>
      </c>
      <c r="K131" s="23">
        <v>2</v>
      </c>
      <c r="L131" s="38">
        <f t="shared" si="26"/>
        <v>1</v>
      </c>
      <c r="M131" s="23">
        <v>5</v>
      </c>
      <c r="N131" s="23">
        <v>0</v>
      </c>
      <c r="O131" s="23">
        <v>0</v>
      </c>
      <c r="P131" s="23">
        <v>0</v>
      </c>
      <c r="Q131" s="23">
        <v>2</v>
      </c>
      <c r="R131" s="25">
        <v>10</v>
      </c>
    </row>
    <row r="132" spans="1:18" x14ac:dyDescent="0.25">
      <c r="A132" s="43">
        <v>42214</v>
      </c>
      <c r="B132" s="43"/>
      <c r="C132" s="22" t="s">
        <v>40</v>
      </c>
      <c r="D132" s="23">
        <v>8</v>
      </c>
      <c r="E132" s="23">
        <v>14</v>
      </c>
      <c r="F132" s="38">
        <f t="shared" si="24"/>
        <v>0.5714285714285714</v>
      </c>
      <c r="G132" s="23">
        <v>1</v>
      </c>
      <c r="H132" s="23">
        <v>1</v>
      </c>
      <c r="I132" s="38">
        <f t="shared" si="25"/>
        <v>1</v>
      </c>
      <c r="J132" s="23">
        <v>0</v>
      </c>
      <c r="K132" s="23">
        <v>0</v>
      </c>
      <c r="L132" s="38">
        <f t="shared" si="26"/>
        <v>0</v>
      </c>
      <c r="M132" s="23">
        <v>9</v>
      </c>
      <c r="N132" s="23">
        <v>0</v>
      </c>
      <c r="O132" s="23">
        <v>0</v>
      </c>
      <c r="P132" s="23">
        <v>0</v>
      </c>
      <c r="Q132" s="23">
        <v>0</v>
      </c>
      <c r="R132" s="25">
        <v>17</v>
      </c>
    </row>
    <row r="133" spans="1:18" x14ac:dyDescent="0.25">
      <c r="A133" s="77">
        <v>42213</v>
      </c>
      <c r="B133" s="43"/>
      <c r="C133" s="22" t="s">
        <v>45</v>
      </c>
      <c r="D133" s="23">
        <v>5</v>
      </c>
      <c r="E133" s="23">
        <v>15</v>
      </c>
      <c r="F133" s="38">
        <f t="shared" si="24"/>
        <v>0.33333333333333331</v>
      </c>
      <c r="G133" s="23">
        <v>1</v>
      </c>
      <c r="H133" s="23">
        <v>4</v>
      </c>
      <c r="I133" s="38">
        <f t="shared" si="25"/>
        <v>0.25</v>
      </c>
      <c r="J133" s="23">
        <v>0</v>
      </c>
      <c r="K133" s="23">
        <v>0</v>
      </c>
      <c r="L133" s="38">
        <f t="shared" si="26"/>
        <v>0</v>
      </c>
      <c r="M133" s="23">
        <v>5</v>
      </c>
      <c r="N133" s="23">
        <v>2</v>
      </c>
      <c r="O133" s="23">
        <v>1</v>
      </c>
      <c r="P133" s="23">
        <v>1</v>
      </c>
      <c r="Q133" s="23">
        <v>0</v>
      </c>
      <c r="R133" s="25">
        <v>11</v>
      </c>
    </row>
    <row r="134" spans="1:18" x14ac:dyDescent="0.25">
      <c r="A134" s="77">
        <v>42213</v>
      </c>
      <c r="B134" s="43"/>
      <c r="C134" s="22" t="s">
        <v>43</v>
      </c>
      <c r="D134" s="23">
        <v>2</v>
      </c>
      <c r="E134" s="23">
        <v>7</v>
      </c>
      <c r="F134" s="38">
        <f t="shared" si="24"/>
        <v>0.2857142857142857</v>
      </c>
      <c r="G134" s="23">
        <v>0</v>
      </c>
      <c r="H134" s="23">
        <v>3</v>
      </c>
      <c r="I134" s="38">
        <f t="shared" si="25"/>
        <v>0</v>
      </c>
      <c r="J134" s="23">
        <v>0</v>
      </c>
      <c r="K134" s="23">
        <v>0</v>
      </c>
      <c r="L134" s="38">
        <f t="shared" si="26"/>
        <v>0</v>
      </c>
      <c r="M134" s="23">
        <v>3</v>
      </c>
      <c r="N134" s="23">
        <v>2</v>
      </c>
      <c r="O134" s="23">
        <v>0</v>
      </c>
      <c r="P134" s="23">
        <v>1</v>
      </c>
      <c r="Q134" s="23">
        <v>1</v>
      </c>
      <c r="R134" s="25">
        <v>4</v>
      </c>
    </row>
    <row r="135" spans="1:18" x14ac:dyDescent="0.25">
      <c r="A135" s="77">
        <v>42213</v>
      </c>
      <c r="B135" s="43"/>
      <c r="C135" s="22" t="s">
        <v>55</v>
      </c>
      <c r="D135" s="23">
        <v>4</v>
      </c>
      <c r="E135" s="23">
        <v>7</v>
      </c>
      <c r="F135" s="38">
        <f t="shared" si="24"/>
        <v>0.5714285714285714</v>
      </c>
      <c r="G135" s="23">
        <v>1</v>
      </c>
      <c r="H135" s="23">
        <v>1</v>
      </c>
      <c r="I135" s="38">
        <f t="shared" si="25"/>
        <v>1</v>
      </c>
      <c r="J135" s="23">
        <v>1</v>
      </c>
      <c r="K135" s="23">
        <v>1</v>
      </c>
      <c r="L135" s="38">
        <f t="shared" si="26"/>
        <v>1</v>
      </c>
      <c r="M135" s="23">
        <v>2</v>
      </c>
      <c r="N135" s="23">
        <v>1</v>
      </c>
      <c r="O135" s="23">
        <v>0</v>
      </c>
      <c r="P135" s="23">
        <v>1</v>
      </c>
      <c r="Q135" s="23">
        <v>0</v>
      </c>
      <c r="R135" s="25">
        <v>10</v>
      </c>
    </row>
    <row r="136" spans="1:18" x14ac:dyDescent="0.25">
      <c r="A136" s="43">
        <v>42214</v>
      </c>
      <c r="B136" s="43"/>
      <c r="C136" s="22" t="s">
        <v>43</v>
      </c>
      <c r="D136" s="23">
        <v>2</v>
      </c>
      <c r="E136" s="23">
        <v>7</v>
      </c>
      <c r="F136" s="38">
        <f t="shared" si="24"/>
        <v>0.2857142857142857</v>
      </c>
      <c r="G136" s="23">
        <v>2</v>
      </c>
      <c r="H136" s="23">
        <v>4</v>
      </c>
      <c r="I136" s="38">
        <f t="shared" si="25"/>
        <v>0.5</v>
      </c>
      <c r="J136" s="23">
        <v>0</v>
      </c>
      <c r="K136" s="23">
        <v>0</v>
      </c>
      <c r="L136" s="38">
        <f t="shared" si="26"/>
        <v>0</v>
      </c>
      <c r="M136" s="23">
        <v>4</v>
      </c>
      <c r="N136" s="23">
        <v>0</v>
      </c>
      <c r="O136" s="23">
        <v>1</v>
      </c>
      <c r="P136" s="23">
        <v>1</v>
      </c>
      <c r="Q136" s="23">
        <v>1</v>
      </c>
      <c r="R136" s="25">
        <v>6</v>
      </c>
    </row>
    <row r="137" spans="1:18" x14ac:dyDescent="0.25">
      <c r="A137" s="43">
        <v>42214</v>
      </c>
      <c r="B137" s="43"/>
      <c r="C137" s="22" t="s">
        <v>44</v>
      </c>
      <c r="D137" s="23">
        <v>3</v>
      </c>
      <c r="E137" s="23">
        <v>9</v>
      </c>
      <c r="F137" s="38">
        <f t="shared" si="24"/>
        <v>0.33333333333333331</v>
      </c>
      <c r="G137" s="23">
        <v>0</v>
      </c>
      <c r="H137" s="23">
        <v>0</v>
      </c>
      <c r="I137" s="38">
        <f t="shared" si="25"/>
        <v>0</v>
      </c>
      <c r="J137" s="23">
        <v>4</v>
      </c>
      <c r="K137" s="23">
        <v>4</v>
      </c>
      <c r="L137" s="38">
        <f t="shared" si="26"/>
        <v>1</v>
      </c>
      <c r="M137" s="23">
        <v>2</v>
      </c>
      <c r="N137" s="23">
        <v>12</v>
      </c>
      <c r="O137" s="23">
        <v>2</v>
      </c>
      <c r="P137" s="23">
        <v>3</v>
      </c>
      <c r="Q137" s="23">
        <v>1</v>
      </c>
      <c r="R137" s="25">
        <v>10</v>
      </c>
    </row>
    <row r="138" spans="1:18" x14ac:dyDescent="0.25">
      <c r="A138" s="43">
        <v>42214</v>
      </c>
      <c r="B138" s="43"/>
      <c r="C138" s="22" t="s">
        <v>117</v>
      </c>
      <c r="D138" s="23">
        <v>0</v>
      </c>
      <c r="E138" s="23">
        <v>1</v>
      </c>
      <c r="F138" s="38">
        <f t="shared" si="24"/>
        <v>0</v>
      </c>
      <c r="G138" s="23">
        <v>0</v>
      </c>
      <c r="H138" s="23">
        <v>0</v>
      </c>
      <c r="I138" s="38">
        <f t="shared" si="25"/>
        <v>0</v>
      </c>
      <c r="J138" s="23">
        <v>0</v>
      </c>
      <c r="K138" s="23">
        <v>0</v>
      </c>
      <c r="L138" s="38">
        <f t="shared" si="26"/>
        <v>0</v>
      </c>
      <c r="M138" s="23">
        <v>0</v>
      </c>
      <c r="N138" s="23">
        <v>5</v>
      </c>
      <c r="O138" s="23">
        <v>0</v>
      </c>
      <c r="P138" s="23">
        <v>3</v>
      </c>
      <c r="Q138" s="23">
        <v>0</v>
      </c>
      <c r="R138" s="25">
        <v>0</v>
      </c>
    </row>
    <row r="139" spans="1:18" x14ac:dyDescent="0.25">
      <c r="A139" s="71">
        <v>42215</v>
      </c>
      <c r="B139" s="20"/>
      <c r="C139" s="15" t="s">
        <v>45</v>
      </c>
      <c r="D139" s="16">
        <v>1</v>
      </c>
      <c r="E139" s="16">
        <v>4</v>
      </c>
      <c r="F139" s="70">
        <f t="shared" si="24"/>
        <v>0.25</v>
      </c>
      <c r="G139" s="16">
        <v>1</v>
      </c>
      <c r="H139" s="16">
        <v>1</v>
      </c>
      <c r="I139" s="70">
        <f t="shared" si="25"/>
        <v>1</v>
      </c>
      <c r="J139" s="16">
        <v>0</v>
      </c>
      <c r="K139" s="16">
        <v>0</v>
      </c>
      <c r="L139" s="70">
        <f t="shared" si="26"/>
        <v>0</v>
      </c>
      <c r="M139" s="16">
        <v>1</v>
      </c>
      <c r="N139" s="16">
        <v>1</v>
      </c>
      <c r="O139" s="16">
        <v>1</v>
      </c>
      <c r="P139" s="16">
        <v>3</v>
      </c>
      <c r="Q139" s="16">
        <v>0</v>
      </c>
      <c r="R139" s="16">
        <v>3</v>
      </c>
    </row>
    <row r="140" spans="1:18" x14ac:dyDescent="0.25">
      <c r="A140" s="71">
        <v>42215</v>
      </c>
      <c r="B140" s="20"/>
      <c r="C140" s="15" t="s">
        <v>42</v>
      </c>
      <c r="D140" s="16">
        <v>4</v>
      </c>
      <c r="E140" s="16">
        <v>9</v>
      </c>
      <c r="F140" s="70">
        <f t="shared" si="24"/>
        <v>0.44444444444444442</v>
      </c>
      <c r="G140" s="16">
        <v>0</v>
      </c>
      <c r="H140" s="16">
        <v>0</v>
      </c>
      <c r="I140" s="70">
        <f t="shared" si="25"/>
        <v>0</v>
      </c>
      <c r="J140" s="16">
        <v>0</v>
      </c>
      <c r="K140" s="16">
        <v>0</v>
      </c>
      <c r="L140" s="70">
        <f t="shared" si="26"/>
        <v>0</v>
      </c>
      <c r="M140" s="16">
        <v>7</v>
      </c>
      <c r="N140" s="16">
        <v>0</v>
      </c>
      <c r="O140" s="16">
        <v>3</v>
      </c>
      <c r="P140" s="16">
        <v>1</v>
      </c>
      <c r="Q140" s="16">
        <v>0</v>
      </c>
      <c r="R140" s="16">
        <v>8</v>
      </c>
    </row>
    <row r="141" spans="1:18" x14ac:dyDescent="0.25">
      <c r="A141" s="71">
        <v>42215</v>
      </c>
      <c r="B141" s="20"/>
      <c r="C141" s="15" t="s">
        <v>41</v>
      </c>
      <c r="D141" s="16">
        <v>5</v>
      </c>
      <c r="E141" s="16">
        <v>15</v>
      </c>
      <c r="F141" s="70">
        <f t="shared" si="24"/>
        <v>0.33333333333333331</v>
      </c>
      <c r="G141" s="16">
        <v>0</v>
      </c>
      <c r="H141" s="16">
        <v>5</v>
      </c>
      <c r="I141" s="70">
        <f t="shared" si="25"/>
        <v>0</v>
      </c>
      <c r="J141" s="16">
        <v>6</v>
      </c>
      <c r="K141" s="16">
        <v>8</v>
      </c>
      <c r="L141" s="70">
        <f t="shared" si="26"/>
        <v>0.75</v>
      </c>
      <c r="M141" s="16">
        <v>6</v>
      </c>
      <c r="N141" s="16">
        <v>4</v>
      </c>
      <c r="O141" s="16">
        <v>1</v>
      </c>
      <c r="P141" s="16">
        <v>2</v>
      </c>
      <c r="Q141" s="16">
        <v>0</v>
      </c>
      <c r="R141" s="16">
        <v>16</v>
      </c>
    </row>
    <row r="142" spans="1:18" x14ac:dyDescent="0.25">
      <c r="A142" s="21">
        <v>42216</v>
      </c>
      <c r="B142" s="20"/>
      <c r="C142" s="15" t="s">
        <v>40</v>
      </c>
      <c r="D142" s="16">
        <v>6</v>
      </c>
      <c r="E142" s="16">
        <v>10</v>
      </c>
      <c r="F142" s="70">
        <f t="shared" si="24"/>
        <v>0.6</v>
      </c>
      <c r="G142" s="16">
        <v>1</v>
      </c>
      <c r="H142" s="16">
        <v>1</v>
      </c>
      <c r="I142" s="70">
        <f t="shared" si="25"/>
        <v>1</v>
      </c>
      <c r="J142" s="16">
        <v>1</v>
      </c>
      <c r="K142" s="16">
        <v>1</v>
      </c>
      <c r="L142" s="70">
        <f t="shared" si="26"/>
        <v>1</v>
      </c>
      <c r="M142" s="16">
        <v>4</v>
      </c>
      <c r="N142" s="16">
        <v>1</v>
      </c>
      <c r="O142" s="16">
        <v>2</v>
      </c>
      <c r="P142" s="16">
        <v>2</v>
      </c>
      <c r="Q142" s="16">
        <v>1</v>
      </c>
      <c r="R142" s="16">
        <v>14</v>
      </c>
    </row>
    <row r="143" spans="1:18" x14ac:dyDescent="0.25">
      <c r="A143" s="21">
        <v>42216</v>
      </c>
      <c r="B143" s="20"/>
      <c r="C143" s="15" t="s">
        <v>55</v>
      </c>
      <c r="D143" s="16">
        <v>3</v>
      </c>
      <c r="E143" s="16">
        <v>7</v>
      </c>
      <c r="F143" s="70">
        <f t="shared" si="24"/>
        <v>0.42857142857142855</v>
      </c>
      <c r="G143" s="16">
        <v>0</v>
      </c>
      <c r="H143" s="16">
        <v>3</v>
      </c>
      <c r="I143" s="70">
        <f t="shared" si="25"/>
        <v>0</v>
      </c>
      <c r="J143" s="16">
        <v>3</v>
      </c>
      <c r="K143" s="16">
        <v>4</v>
      </c>
      <c r="L143" s="70">
        <f t="shared" si="26"/>
        <v>0.75</v>
      </c>
      <c r="M143" s="16">
        <v>4</v>
      </c>
      <c r="N143" s="16">
        <v>1</v>
      </c>
      <c r="O143" s="16">
        <v>0</v>
      </c>
      <c r="P143" s="16">
        <v>3</v>
      </c>
      <c r="Q143" s="16">
        <v>0</v>
      </c>
      <c r="R143" s="16">
        <v>9</v>
      </c>
    </row>
    <row r="144" spans="1:18" x14ac:dyDescent="0.25">
      <c r="A144" s="21">
        <v>42216</v>
      </c>
      <c r="B144" s="20"/>
      <c r="C144" s="15" t="s">
        <v>117</v>
      </c>
      <c r="D144" s="16">
        <v>0</v>
      </c>
      <c r="E144" s="16">
        <v>3</v>
      </c>
      <c r="F144" s="70">
        <f t="shared" si="24"/>
        <v>0</v>
      </c>
      <c r="G144" s="16">
        <v>0</v>
      </c>
      <c r="H144" s="16">
        <v>2</v>
      </c>
      <c r="I144" s="70">
        <f t="shared" si="25"/>
        <v>0</v>
      </c>
      <c r="J144" s="16">
        <v>2</v>
      </c>
      <c r="K144" s="16">
        <v>2</v>
      </c>
      <c r="L144" s="70">
        <f t="shared" si="26"/>
        <v>1</v>
      </c>
      <c r="M144" s="16">
        <v>3</v>
      </c>
      <c r="N144" s="16">
        <v>4</v>
      </c>
      <c r="O144" s="16">
        <v>3</v>
      </c>
      <c r="P144" s="16">
        <v>1</v>
      </c>
      <c r="Q144" s="16">
        <v>0</v>
      </c>
      <c r="R144" s="16">
        <v>2</v>
      </c>
    </row>
    <row r="145" spans="1:18" x14ac:dyDescent="0.25">
      <c r="A145" s="21">
        <v>42216</v>
      </c>
      <c r="B145" s="20"/>
      <c r="C145" s="15" t="s">
        <v>44</v>
      </c>
      <c r="D145" s="16">
        <v>2</v>
      </c>
      <c r="E145" s="16">
        <v>5</v>
      </c>
      <c r="F145" s="70">
        <f t="shared" si="24"/>
        <v>0.4</v>
      </c>
      <c r="G145" s="16">
        <v>0</v>
      </c>
      <c r="H145" s="16">
        <v>0</v>
      </c>
      <c r="I145" s="70">
        <f t="shared" si="25"/>
        <v>0</v>
      </c>
      <c r="J145" s="16">
        <v>0</v>
      </c>
      <c r="K145" s="16">
        <v>0</v>
      </c>
      <c r="L145" s="70">
        <f t="shared" si="26"/>
        <v>0</v>
      </c>
      <c r="M145" s="16">
        <v>0</v>
      </c>
      <c r="N145" s="16">
        <v>4</v>
      </c>
      <c r="O145" s="16">
        <v>0</v>
      </c>
      <c r="P145" s="16">
        <v>4</v>
      </c>
      <c r="Q145" s="16">
        <v>0</v>
      </c>
      <c r="R145" s="16">
        <v>4</v>
      </c>
    </row>
    <row r="146" spans="1:18" x14ac:dyDescent="0.25">
      <c r="A146" s="73">
        <v>42217</v>
      </c>
      <c r="B146" s="20"/>
      <c r="C146" s="20" t="s">
        <v>42</v>
      </c>
      <c r="D146" s="16">
        <v>1</v>
      </c>
      <c r="E146" s="16">
        <v>4</v>
      </c>
      <c r="F146" s="75">
        <f t="shared" ref="F146:F153" si="27">IF(E146=0,0,D146/E146)</f>
        <v>0.25</v>
      </c>
      <c r="G146" s="16">
        <v>0</v>
      </c>
      <c r="H146" s="16">
        <v>0</v>
      </c>
      <c r="I146" s="75">
        <f t="shared" ref="I146:I153" si="28">IF(H146=0,0,G146/H146)</f>
        <v>0</v>
      </c>
      <c r="J146" s="16">
        <v>1</v>
      </c>
      <c r="K146" s="16">
        <v>3</v>
      </c>
      <c r="L146" s="75">
        <f t="shared" ref="L146:L153" si="29">IF(K146=0,0,J146/K146)</f>
        <v>0.33333333333333331</v>
      </c>
      <c r="M146" s="16">
        <v>8</v>
      </c>
      <c r="N146" s="16">
        <v>1</v>
      </c>
      <c r="O146" s="16">
        <v>1</v>
      </c>
      <c r="P146" s="16">
        <v>1</v>
      </c>
      <c r="Q146" s="16">
        <v>2</v>
      </c>
      <c r="R146" s="16">
        <v>3</v>
      </c>
    </row>
    <row r="147" spans="1:18" x14ac:dyDescent="0.25">
      <c r="A147" s="73">
        <v>42217</v>
      </c>
      <c r="B147" s="20"/>
      <c r="C147" s="20" t="s">
        <v>41</v>
      </c>
      <c r="D147" s="16">
        <v>4</v>
      </c>
      <c r="E147" s="16">
        <v>13</v>
      </c>
      <c r="F147" s="75">
        <f t="shared" si="27"/>
        <v>0.30769230769230771</v>
      </c>
      <c r="G147" s="16">
        <v>1</v>
      </c>
      <c r="H147" s="16">
        <v>4</v>
      </c>
      <c r="I147" s="75">
        <f t="shared" si="28"/>
        <v>0.25</v>
      </c>
      <c r="J147" s="16">
        <v>7</v>
      </c>
      <c r="K147" s="16">
        <v>10</v>
      </c>
      <c r="L147" s="75">
        <f t="shared" si="29"/>
        <v>0.7</v>
      </c>
      <c r="M147" s="16">
        <v>4</v>
      </c>
      <c r="N147" s="16">
        <v>6</v>
      </c>
      <c r="O147" s="16">
        <v>1</v>
      </c>
      <c r="P147" s="16">
        <v>4</v>
      </c>
      <c r="Q147" s="16">
        <v>1</v>
      </c>
      <c r="R147" s="16">
        <v>16</v>
      </c>
    </row>
    <row r="148" spans="1:18" x14ac:dyDescent="0.25">
      <c r="A148" s="73">
        <v>42218</v>
      </c>
      <c r="B148" s="20"/>
      <c r="C148" s="20" t="s">
        <v>45</v>
      </c>
      <c r="D148" s="16">
        <v>5</v>
      </c>
      <c r="E148" s="16">
        <v>8</v>
      </c>
      <c r="F148" s="75">
        <f t="shared" si="27"/>
        <v>0.625</v>
      </c>
      <c r="G148" s="16">
        <v>2</v>
      </c>
      <c r="H148" s="16">
        <v>3</v>
      </c>
      <c r="I148" s="75">
        <f t="shared" si="28"/>
        <v>0.66666666666666663</v>
      </c>
      <c r="J148" s="16">
        <v>2</v>
      </c>
      <c r="K148" s="16">
        <v>2</v>
      </c>
      <c r="L148" s="75">
        <f t="shared" si="29"/>
        <v>1</v>
      </c>
      <c r="M148" s="16">
        <v>3</v>
      </c>
      <c r="N148" s="16">
        <v>2</v>
      </c>
      <c r="O148" s="16">
        <v>0</v>
      </c>
      <c r="P148" s="16">
        <v>1</v>
      </c>
      <c r="Q148" s="16">
        <v>1</v>
      </c>
      <c r="R148" s="16">
        <v>14</v>
      </c>
    </row>
    <row r="149" spans="1:18" x14ac:dyDescent="0.25">
      <c r="A149" s="73">
        <v>42218</v>
      </c>
      <c r="B149" s="20"/>
      <c r="C149" s="20" t="s">
        <v>117</v>
      </c>
      <c r="D149" s="16">
        <v>0</v>
      </c>
      <c r="E149" s="16">
        <v>6</v>
      </c>
      <c r="F149" s="75">
        <f t="shared" si="27"/>
        <v>0</v>
      </c>
      <c r="G149" s="16">
        <v>0</v>
      </c>
      <c r="H149" s="16">
        <v>4</v>
      </c>
      <c r="I149" s="75">
        <f t="shared" si="28"/>
        <v>0</v>
      </c>
      <c r="J149" s="16">
        <v>0</v>
      </c>
      <c r="K149" s="16">
        <v>0</v>
      </c>
      <c r="L149" s="75">
        <f t="shared" si="29"/>
        <v>0</v>
      </c>
      <c r="M149" s="16">
        <v>4</v>
      </c>
      <c r="N149" s="16">
        <v>3</v>
      </c>
      <c r="O149" s="16">
        <v>2</v>
      </c>
      <c r="P149" s="16">
        <v>1</v>
      </c>
      <c r="Q149" s="16">
        <v>0</v>
      </c>
      <c r="R149" s="16">
        <v>0</v>
      </c>
    </row>
    <row r="150" spans="1:18" x14ac:dyDescent="0.25">
      <c r="A150" s="77">
        <v>42218</v>
      </c>
      <c r="B150" s="43"/>
      <c r="C150" s="47" t="s">
        <v>44</v>
      </c>
      <c r="D150" s="23">
        <v>5</v>
      </c>
      <c r="E150" s="23">
        <v>13</v>
      </c>
      <c r="F150" s="38">
        <f t="shared" si="27"/>
        <v>0.38461538461538464</v>
      </c>
      <c r="G150" s="23">
        <v>0</v>
      </c>
      <c r="H150" s="23">
        <v>0</v>
      </c>
      <c r="I150" s="38">
        <f t="shared" si="28"/>
        <v>0</v>
      </c>
      <c r="J150" s="23">
        <v>2</v>
      </c>
      <c r="K150" s="23">
        <v>2</v>
      </c>
      <c r="L150" s="38">
        <f t="shared" si="29"/>
        <v>1</v>
      </c>
      <c r="M150" s="23">
        <v>1</v>
      </c>
      <c r="N150" s="23">
        <v>3</v>
      </c>
      <c r="O150" s="23">
        <v>0</v>
      </c>
      <c r="P150" s="23">
        <v>1</v>
      </c>
      <c r="Q150" s="23">
        <v>0</v>
      </c>
      <c r="R150" s="25">
        <v>12</v>
      </c>
    </row>
    <row r="151" spans="1:18" x14ac:dyDescent="0.25">
      <c r="A151" s="77">
        <v>42218</v>
      </c>
      <c r="B151" s="43"/>
      <c r="C151" s="47" t="s">
        <v>55</v>
      </c>
      <c r="D151" s="23">
        <v>1</v>
      </c>
      <c r="E151" s="23">
        <v>3</v>
      </c>
      <c r="F151" s="38">
        <f t="shared" si="27"/>
        <v>0.33333333333333331</v>
      </c>
      <c r="G151" s="23">
        <v>0</v>
      </c>
      <c r="H151" s="23">
        <v>1</v>
      </c>
      <c r="I151" s="38">
        <f t="shared" si="28"/>
        <v>0</v>
      </c>
      <c r="J151" s="23">
        <v>3</v>
      </c>
      <c r="K151" s="23">
        <v>5</v>
      </c>
      <c r="L151" s="38">
        <f t="shared" si="29"/>
        <v>0.6</v>
      </c>
      <c r="M151" s="23">
        <v>2</v>
      </c>
      <c r="N151" s="23">
        <v>1</v>
      </c>
      <c r="O151" s="23">
        <v>2</v>
      </c>
      <c r="P151" s="23">
        <v>1</v>
      </c>
      <c r="Q151" s="23">
        <v>0</v>
      </c>
      <c r="R151" s="25">
        <v>5</v>
      </c>
    </row>
    <row r="152" spans="1:18" x14ac:dyDescent="0.25">
      <c r="A152" s="77">
        <v>42218</v>
      </c>
      <c r="B152" s="43"/>
      <c r="C152" s="47" t="s">
        <v>43</v>
      </c>
      <c r="D152" s="23">
        <v>4</v>
      </c>
      <c r="E152" s="23">
        <v>12</v>
      </c>
      <c r="F152" s="38">
        <f t="shared" si="27"/>
        <v>0.33333333333333331</v>
      </c>
      <c r="G152" s="23">
        <v>1</v>
      </c>
      <c r="H152" s="23">
        <v>3</v>
      </c>
      <c r="I152" s="38">
        <f t="shared" si="28"/>
        <v>0.33333333333333331</v>
      </c>
      <c r="J152" s="23">
        <v>2</v>
      </c>
      <c r="K152" s="23">
        <v>2</v>
      </c>
      <c r="L152" s="38">
        <f t="shared" si="29"/>
        <v>1</v>
      </c>
      <c r="M152" s="23">
        <v>2</v>
      </c>
      <c r="N152" s="23">
        <v>1</v>
      </c>
      <c r="O152" s="23">
        <v>0</v>
      </c>
      <c r="P152" s="23">
        <v>4</v>
      </c>
      <c r="Q152" s="23">
        <v>1</v>
      </c>
      <c r="R152" s="25">
        <v>11</v>
      </c>
    </row>
    <row r="153" spans="1:18" x14ac:dyDescent="0.25">
      <c r="A153" s="77">
        <v>42218</v>
      </c>
      <c r="B153" s="43"/>
      <c r="C153" s="47" t="s">
        <v>40</v>
      </c>
      <c r="D153" s="23">
        <v>3</v>
      </c>
      <c r="E153" s="23">
        <v>9</v>
      </c>
      <c r="F153" s="38">
        <f t="shared" si="27"/>
        <v>0.33333333333333331</v>
      </c>
      <c r="G153" s="23">
        <v>0</v>
      </c>
      <c r="H153" s="23">
        <v>0</v>
      </c>
      <c r="I153" s="38">
        <f t="shared" si="28"/>
        <v>0</v>
      </c>
      <c r="J153" s="23">
        <v>2</v>
      </c>
      <c r="K153" s="23">
        <v>2</v>
      </c>
      <c r="L153" s="38">
        <f t="shared" si="29"/>
        <v>1</v>
      </c>
      <c r="M153" s="23">
        <v>9</v>
      </c>
      <c r="N153" s="23">
        <v>4</v>
      </c>
      <c r="O153" s="23">
        <v>2</v>
      </c>
      <c r="P153" s="23">
        <v>0</v>
      </c>
      <c r="Q153" s="23">
        <v>3</v>
      </c>
      <c r="R153" s="25">
        <v>8</v>
      </c>
    </row>
    <row r="154" spans="1:18" x14ac:dyDescent="0.25">
      <c r="A154" s="77">
        <v>42220</v>
      </c>
      <c r="B154" s="43"/>
      <c r="C154" s="22" t="s">
        <v>45</v>
      </c>
      <c r="D154" s="23">
        <v>0</v>
      </c>
      <c r="E154" s="23">
        <v>3</v>
      </c>
      <c r="F154" s="38">
        <f t="shared" ref="F154:F175" si="30">IF(E154=0,0,D154/E154)</f>
        <v>0</v>
      </c>
      <c r="G154" s="23">
        <v>0</v>
      </c>
      <c r="H154" s="23">
        <v>0</v>
      </c>
      <c r="I154" s="38">
        <f t="shared" ref="I154:I175" si="31">IF(H154=0,0,G154/H154)</f>
        <v>0</v>
      </c>
      <c r="J154" s="23">
        <v>0</v>
      </c>
      <c r="K154" s="23">
        <v>0</v>
      </c>
      <c r="L154" s="38">
        <f t="shared" ref="L154:L175" si="32">IF(K154=0,0,J154/K154)</f>
        <v>0</v>
      </c>
      <c r="M154" s="23">
        <v>3</v>
      </c>
      <c r="N154" s="23">
        <v>1</v>
      </c>
      <c r="O154" s="23">
        <v>0</v>
      </c>
      <c r="P154" s="23">
        <v>0</v>
      </c>
      <c r="Q154" s="23">
        <v>0</v>
      </c>
      <c r="R154" s="25">
        <v>0</v>
      </c>
    </row>
    <row r="155" spans="1:18" x14ac:dyDescent="0.25">
      <c r="A155" s="77">
        <v>42220</v>
      </c>
      <c r="B155" s="43"/>
      <c r="C155" s="22" t="s">
        <v>44</v>
      </c>
      <c r="D155" s="23">
        <v>3</v>
      </c>
      <c r="E155" s="23">
        <v>7</v>
      </c>
      <c r="F155" s="38">
        <f t="shared" si="30"/>
        <v>0.42857142857142855</v>
      </c>
      <c r="G155" s="23">
        <v>0</v>
      </c>
      <c r="H155" s="23">
        <v>0</v>
      </c>
      <c r="I155" s="38">
        <f t="shared" si="31"/>
        <v>0</v>
      </c>
      <c r="J155" s="23">
        <v>0</v>
      </c>
      <c r="K155" s="23">
        <v>0</v>
      </c>
      <c r="L155" s="38">
        <f t="shared" si="32"/>
        <v>0</v>
      </c>
      <c r="M155" s="23">
        <v>1</v>
      </c>
      <c r="N155" s="23">
        <v>3</v>
      </c>
      <c r="O155" s="23">
        <v>0</v>
      </c>
      <c r="P155" s="23">
        <v>2</v>
      </c>
      <c r="Q155" s="23">
        <v>0</v>
      </c>
      <c r="R155" s="25">
        <v>6</v>
      </c>
    </row>
    <row r="156" spans="1:18" x14ac:dyDescent="0.25">
      <c r="A156" s="77">
        <v>42220</v>
      </c>
      <c r="B156" s="43"/>
      <c r="C156" s="22" t="s">
        <v>55</v>
      </c>
      <c r="D156" s="23">
        <v>3</v>
      </c>
      <c r="E156" s="23">
        <v>7</v>
      </c>
      <c r="F156" s="38">
        <f t="shared" si="30"/>
        <v>0.42857142857142855</v>
      </c>
      <c r="G156" s="23">
        <v>0</v>
      </c>
      <c r="H156" s="23">
        <v>1</v>
      </c>
      <c r="I156" s="38">
        <f t="shared" si="31"/>
        <v>0</v>
      </c>
      <c r="J156" s="23">
        <v>0</v>
      </c>
      <c r="K156" s="23">
        <v>0</v>
      </c>
      <c r="L156" s="38">
        <f t="shared" si="32"/>
        <v>0</v>
      </c>
      <c r="M156" s="23">
        <v>2</v>
      </c>
      <c r="N156" s="23">
        <v>0</v>
      </c>
      <c r="O156" s="23">
        <v>2</v>
      </c>
      <c r="P156" s="23">
        <v>0</v>
      </c>
      <c r="Q156" s="23">
        <v>0</v>
      </c>
      <c r="R156" s="25">
        <v>6</v>
      </c>
    </row>
    <row r="157" spans="1:18" x14ac:dyDescent="0.25">
      <c r="A157" s="77">
        <v>42220</v>
      </c>
      <c r="B157" s="43"/>
      <c r="C157" s="22" t="s">
        <v>43</v>
      </c>
      <c r="D157" s="23">
        <v>3</v>
      </c>
      <c r="E157" s="23">
        <v>7</v>
      </c>
      <c r="F157" s="38">
        <f t="shared" si="30"/>
        <v>0.42857142857142855</v>
      </c>
      <c r="G157" s="23">
        <v>3</v>
      </c>
      <c r="H157" s="23">
        <v>6</v>
      </c>
      <c r="I157" s="38">
        <f t="shared" si="31"/>
        <v>0.5</v>
      </c>
      <c r="J157" s="23">
        <v>4</v>
      </c>
      <c r="K157" s="23">
        <v>4</v>
      </c>
      <c r="L157" s="38">
        <f t="shared" si="32"/>
        <v>1</v>
      </c>
      <c r="M157" s="23">
        <v>3</v>
      </c>
      <c r="N157" s="23">
        <v>1</v>
      </c>
      <c r="O157" s="23">
        <v>1</v>
      </c>
      <c r="P157" s="23">
        <v>3</v>
      </c>
      <c r="Q157" s="23">
        <v>0</v>
      </c>
      <c r="R157" s="25">
        <v>13</v>
      </c>
    </row>
    <row r="158" spans="1:18" x14ac:dyDescent="0.25">
      <c r="A158" s="77">
        <v>42220</v>
      </c>
      <c r="B158" s="43"/>
      <c r="C158" s="22" t="s">
        <v>42</v>
      </c>
      <c r="D158" s="23">
        <v>7</v>
      </c>
      <c r="E158" s="23">
        <v>11</v>
      </c>
      <c r="F158" s="38">
        <f t="shared" si="30"/>
        <v>0.63636363636363635</v>
      </c>
      <c r="G158" s="23">
        <v>0</v>
      </c>
      <c r="H158" s="23">
        <v>0</v>
      </c>
      <c r="I158" s="38">
        <f t="shared" si="31"/>
        <v>0</v>
      </c>
      <c r="J158" s="23">
        <v>2</v>
      </c>
      <c r="K158" s="23">
        <v>4</v>
      </c>
      <c r="L158" s="38">
        <f t="shared" si="32"/>
        <v>0.5</v>
      </c>
      <c r="M158" s="23">
        <v>16</v>
      </c>
      <c r="N158" s="23">
        <v>1</v>
      </c>
      <c r="O158" s="23">
        <v>1</v>
      </c>
      <c r="P158" s="23">
        <v>1</v>
      </c>
      <c r="Q158" s="23">
        <v>1</v>
      </c>
      <c r="R158" s="25">
        <v>16</v>
      </c>
    </row>
    <row r="159" spans="1:18" x14ac:dyDescent="0.25">
      <c r="A159" s="77">
        <v>42220</v>
      </c>
      <c r="B159" s="43"/>
      <c r="C159" s="22" t="s">
        <v>41</v>
      </c>
      <c r="D159" s="23">
        <v>5</v>
      </c>
      <c r="E159" s="23">
        <v>20</v>
      </c>
      <c r="F159" s="38">
        <f t="shared" si="30"/>
        <v>0.25</v>
      </c>
      <c r="G159" s="23">
        <v>1</v>
      </c>
      <c r="H159" s="23">
        <v>4</v>
      </c>
      <c r="I159" s="38">
        <f t="shared" si="31"/>
        <v>0.25</v>
      </c>
      <c r="J159" s="23">
        <v>4</v>
      </c>
      <c r="K159" s="23">
        <v>4</v>
      </c>
      <c r="L159" s="38">
        <f t="shared" si="32"/>
        <v>1</v>
      </c>
      <c r="M159" s="23">
        <v>6</v>
      </c>
      <c r="N159" s="23">
        <v>3</v>
      </c>
      <c r="O159" s="23">
        <v>2</v>
      </c>
      <c r="P159" s="23">
        <v>1</v>
      </c>
      <c r="Q159" s="23">
        <v>0</v>
      </c>
      <c r="R159" s="25">
        <v>15</v>
      </c>
    </row>
    <row r="160" spans="1:18" x14ac:dyDescent="0.25">
      <c r="A160" s="77">
        <v>42221</v>
      </c>
      <c r="B160" s="43"/>
      <c r="C160" s="22" t="s">
        <v>40</v>
      </c>
      <c r="D160" s="23">
        <v>3</v>
      </c>
      <c r="E160" s="23">
        <v>7</v>
      </c>
      <c r="F160" s="38">
        <f t="shared" si="30"/>
        <v>0.42857142857142855</v>
      </c>
      <c r="G160" s="23">
        <v>0</v>
      </c>
      <c r="H160" s="23">
        <v>1</v>
      </c>
      <c r="I160" s="38">
        <f t="shared" si="31"/>
        <v>0</v>
      </c>
      <c r="J160" s="23">
        <v>0</v>
      </c>
      <c r="K160" s="23">
        <v>0</v>
      </c>
      <c r="L160" s="38">
        <f t="shared" si="32"/>
        <v>0</v>
      </c>
      <c r="M160" s="23">
        <v>1</v>
      </c>
      <c r="N160" s="23">
        <v>0</v>
      </c>
      <c r="O160" s="23">
        <v>0</v>
      </c>
      <c r="P160" s="23">
        <v>1</v>
      </c>
      <c r="Q160" s="23">
        <v>0</v>
      </c>
      <c r="R160" s="25">
        <v>6</v>
      </c>
    </row>
    <row r="161" spans="1:18" x14ac:dyDescent="0.25">
      <c r="A161" s="77">
        <v>42221</v>
      </c>
      <c r="B161" s="43"/>
      <c r="C161" s="22" t="s">
        <v>44</v>
      </c>
      <c r="D161" s="23">
        <v>0</v>
      </c>
      <c r="E161" s="23">
        <v>5</v>
      </c>
      <c r="F161" s="38">
        <f t="shared" si="30"/>
        <v>0</v>
      </c>
      <c r="G161" s="23">
        <v>0</v>
      </c>
      <c r="H161" s="23">
        <v>0</v>
      </c>
      <c r="I161" s="38">
        <f t="shared" si="31"/>
        <v>0</v>
      </c>
      <c r="J161" s="23">
        <v>0</v>
      </c>
      <c r="K161" s="23">
        <v>0</v>
      </c>
      <c r="L161" s="38">
        <f t="shared" si="32"/>
        <v>0</v>
      </c>
      <c r="M161" s="23">
        <v>3</v>
      </c>
      <c r="N161" s="23">
        <v>9</v>
      </c>
      <c r="O161" s="23">
        <v>0</v>
      </c>
      <c r="P161" s="23">
        <v>0</v>
      </c>
      <c r="Q161" s="23">
        <v>0</v>
      </c>
      <c r="R161" s="25">
        <v>0</v>
      </c>
    </row>
    <row r="162" spans="1:18" x14ac:dyDescent="0.25">
      <c r="A162" s="77">
        <v>42222</v>
      </c>
      <c r="B162" s="43"/>
      <c r="C162" s="22" t="s">
        <v>42</v>
      </c>
      <c r="D162" s="23">
        <v>2</v>
      </c>
      <c r="E162" s="23">
        <v>5</v>
      </c>
      <c r="F162" s="38">
        <f t="shared" si="30"/>
        <v>0.4</v>
      </c>
      <c r="G162" s="23">
        <v>0</v>
      </c>
      <c r="H162" s="23">
        <v>0</v>
      </c>
      <c r="I162" s="38">
        <f t="shared" si="31"/>
        <v>0</v>
      </c>
      <c r="J162" s="23">
        <v>0</v>
      </c>
      <c r="K162" s="23">
        <v>0</v>
      </c>
      <c r="L162" s="38">
        <f t="shared" si="32"/>
        <v>0</v>
      </c>
      <c r="M162" s="23">
        <v>6</v>
      </c>
      <c r="N162" s="23">
        <v>0</v>
      </c>
      <c r="O162" s="23">
        <v>0</v>
      </c>
      <c r="P162" s="23">
        <v>0</v>
      </c>
      <c r="Q162" s="23">
        <v>1</v>
      </c>
      <c r="R162" s="25">
        <v>4</v>
      </c>
    </row>
    <row r="163" spans="1:18" x14ac:dyDescent="0.25">
      <c r="A163" s="77">
        <v>42222</v>
      </c>
      <c r="B163" s="43"/>
      <c r="C163" s="22" t="s">
        <v>41</v>
      </c>
      <c r="D163" s="23">
        <v>0</v>
      </c>
      <c r="E163" s="23">
        <v>6</v>
      </c>
      <c r="F163" s="38">
        <f t="shared" si="30"/>
        <v>0</v>
      </c>
      <c r="G163" s="23">
        <v>0</v>
      </c>
      <c r="H163" s="23">
        <v>3</v>
      </c>
      <c r="I163" s="38">
        <f t="shared" si="31"/>
        <v>0</v>
      </c>
      <c r="J163" s="23">
        <v>4</v>
      </c>
      <c r="K163" s="23">
        <v>4</v>
      </c>
      <c r="L163" s="38">
        <f t="shared" si="32"/>
        <v>1</v>
      </c>
      <c r="M163" s="23">
        <v>2</v>
      </c>
      <c r="N163" s="23">
        <v>1</v>
      </c>
      <c r="O163" s="23">
        <v>0</v>
      </c>
      <c r="P163" s="23">
        <v>1</v>
      </c>
      <c r="Q163" s="23">
        <v>0</v>
      </c>
      <c r="R163" s="25">
        <v>4</v>
      </c>
    </row>
    <row r="164" spans="1:18" x14ac:dyDescent="0.25">
      <c r="A164" s="77">
        <v>42222</v>
      </c>
      <c r="B164" s="43"/>
      <c r="C164" s="22" t="s">
        <v>117</v>
      </c>
      <c r="D164" s="23">
        <v>3</v>
      </c>
      <c r="E164" s="23">
        <v>4</v>
      </c>
      <c r="F164" s="38">
        <f t="shared" si="30"/>
        <v>0.75</v>
      </c>
      <c r="G164" s="23">
        <v>0</v>
      </c>
      <c r="H164" s="23">
        <v>0</v>
      </c>
      <c r="I164" s="38">
        <f t="shared" si="31"/>
        <v>0</v>
      </c>
      <c r="J164" s="23">
        <v>0</v>
      </c>
      <c r="K164" s="23">
        <v>0</v>
      </c>
      <c r="L164" s="38">
        <f t="shared" si="32"/>
        <v>0</v>
      </c>
      <c r="M164" s="23">
        <v>3</v>
      </c>
      <c r="N164" s="23">
        <v>2</v>
      </c>
      <c r="O164" s="23">
        <v>1</v>
      </c>
      <c r="P164" s="23">
        <v>2</v>
      </c>
      <c r="Q164" s="23">
        <v>0</v>
      </c>
      <c r="R164" s="25">
        <v>6</v>
      </c>
    </row>
    <row r="165" spans="1:18" x14ac:dyDescent="0.25">
      <c r="A165" s="77">
        <v>42223</v>
      </c>
      <c r="B165" s="43"/>
      <c r="C165" s="22" t="s">
        <v>40</v>
      </c>
      <c r="D165" s="23">
        <v>1</v>
      </c>
      <c r="E165" s="23">
        <v>2</v>
      </c>
      <c r="F165" s="38">
        <f t="shared" si="30"/>
        <v>0.5</v>
      </c>
      <c r="G165" s="23">
        <v>0</v>
      </c>
      <c r="H165" s="23">
        <v>0</v>
      </c>
      <c r="I165" s="38">
        <f t="shared" si="31"/>
        <v>0</v>
      </c>
      <c r="J165" s="23">
        <v>1</v>
      </c>
      <c r="K165" s="23">
        <v>2</v>
      </c>
      <c r="L165" s="38">
        <f t="shared" si="32"/>
        <v>0.5</v>
      </c>
      <c r="M165" s="23">
        <v>3</v>
      </c>
      <c r="N165" s="23">
        <v>0</v>
      </c>
      <c r="O165" s="23">
        <v>0</v>
      </c>
      <c r="P165" s="23">
        <v>0</v>
      </c>
      <c r="Q165" s="23">
        <v>1</v>
      </c>
      <c r="R165" s="25">
        <v>3</v>
      </c>
    </row>
    <row r="166" spans="1:18" x14ac:dyDescent="0.25">
      <c r="A166" s="77">
        <v>42223</v>
      </c>
      <c r="B166" s="43"/>
      <c r="C166" s="22" t="s">
        <v>55</v>
      </c>
      <c r="D166" s="23">
        <v>2</v>
      </c>
      <c r="E166" s="23">
        <v>5</v>
      </c>
      <c r="F166" s="38">
        <f t="shared" si="30"/>
        <v>0.4</v>
      </c>
      <c r="G166" s="23">
        <v>0</v>
      </c>
      <c r="H166" s="23">
        <v>1</v>
      </c>
      <c r="I166" s="38">
        <f t="shared" si="31"/>
        <v>0</v>
      </c>
      <c r="J166" s="23">
        <v>0</v>
      </c>
      <c r="K166" s="23">
        <v>0</v>
      </c>
      <c r="L166" s="38">
        <f t="shared" si="32"/>
        <v>0</v>
      </c>
      <c r="M166" s="23">
        <v>3</v>
      </c>
      <c r="N166" s="23">
        <v>6</v>
      </c>
      <c r="O166" s="23">
        <v>0</v>
      </c>
      <c r="P166" s="23">
        <v>0</v>
      </c>
      <c r="Q166" s="23">
        <v>0</v>
      </c>
      <c r="R166" s="25">
        <v>4</v>
      </c>
    </row>
    <row r="167" spans="1:18" x14ac:dyDescent="0.25">
      <c r="A167" s="77">
        <v>42223</v>
      </c>
      <c r="B167" s="43"/>
      <c r="C167" s="22" t="s">
        <v>43</v>
      </c>
      <c r="D167" s="23">
        <v>5</v>
      </c>
      <c r="E167" s="23">
        <v>11</v>
      </c>
      <c r="F167" s="38">
        <f t="shared" si="30"/>
        <v>0.45454545454545453</v>
      </c>
      <c r="G167" s="23">
        <v>2</v>
      </c>
      <c r="H167" s="23">
        <v>5</v>
      </c>
      <c r="I167" s="38">
        <f t="shared" si="31"/>
        <v>0.4</v>
      </c>
      <c r="J167" s="23">
        <v>7</v>
      </c>
      <c r="K167" s="23">
        <v>7</v>
      </c>
      <c r="L167" s="38">
        <f t="shared" si="32"/>
        <v>1</v>
      </c>
      <c r="M167" s="23">
        <v>3</v>
      </c>
      <c r="N167" s="23">
        <v>4</v>
      </c>
      <c r="O167" s="23">
        <v>0</v>
      </c>
      <c r="P167" s="23">
        <v>2</v>
      </c>
      <c r="Q167" s="23">
        <v>0</v>
      </c>
      <c r="R167" s="25">
        <v>19</v>
      </c>
    </row>
    <row r="168" spans="1:18" x14ac:dyDescent="0.25">
      <c r="A168" s="73">
        <v>42223</v>
      </c>
      <c r="B168" s="20"/>
      <c r="C168" s="15" t="s">
        <v>45</v>
      </c>
      <c r="D168" s="16">
        <v>2</v>
      </c>
      <c r="E168" s="16">
        <v>8</v>
      </c>
      <c r="F168" s="76">
        <f t="shared" si="30"/>
        <v>0.25</v>
      </c>
      <c r="G168" s="16">
        <v>1</v>
      </c>
      <c r="H168" s="16">
        <v>3</v>
      </c>
      <c r="I168" s="76">
        <f t="shared" si="31"/>
        <v>0.33333333333333331</v>
      </c>
      <c r="J168" s="16">
        <v>0</v>
      </c>
      <c r="K168" s="16">
        <v>0</v>
      </c>
      <c r="L168" s="76">
        <f t="shared" si="32"/>
        <v>0</v>
      </c>
      <c r="M168" s="16">
        <v>3</v>
      </c>
      <c r="N168" s="16">
        <v>1</v>
      </c>
      <c r="O168" s="16">
        <v>0</v>
      </c>
      <c r="P168" s="16">
        <v>0</v>
      </c>
      <c r="Q168" s="16">
        <v>0</v>
      </c>
      <c r="R168" s="16">
        <v>5</v>
      </c>
    </row>
    <row r="169" spans="1:18" x14ac:dyDescent="0.25">
      <c r="A169" s="73">
        <v>42224</v>
      </c>
      <c r="B169" s="20"/>
      <c r="C169" s="15" t="s">
        <v>44</v>
      </c>
      <c r="D169" s="16">
        <v>2</v>
      </c>
      <c r="E169" s="16">
        <v>7</v>
      </c>
      <c r="F169" s="76">
        <f t="shared" si="30"/>
        <v>0.2857142857142857</v>
      </c>
      <c r="G169" s="16">
        <v>0</v>
      </c>
      <c r="H169" s="16">
        <v>0</v>
      </c>
      <c r="I169" s="76">
        <f t="shared" si="31"/>
        <v>0</v>
      </c>
      <c r="J169" s="16">
        <v>0</v>
      </c>
      <c r="K169" s="16">
        <v>0</v>
      </c>
      <c r="L169" s="76">
        <f t="shared" si="32"/>
        <v>0</v>
      </c>
      <c r="M169" s="16">
        <v>2</v>
      </c>
      <c r="N169" s="16">
        <v>8</v>
      </c>
      <c r="O169" s="16">
        <v>1</v>
      </c>
      <c r="P169" s="16">
        <v>3</v>
      </c>
      <c r="Q169" s="16">
        <v>0</v>
      </c>
      <c r="R169" s="16">
        <v>4</v>
      </c>
    </row>
    <row r="170" spans="1:18" x14ac:dyDescent="0.25">
      <c r="A170" s="71">
        <v>42225</v>
      </c>
      <c r="B170" s="20"/>
      <c r="C170" s="15" t="s">
        <v>45</v>
      </c>
      <c r="D170" s="16">
        <v>3</v>
      </c>
      <c r="E170" s="16">
        <v>7</v>
      </c>
      <c r="F170" s="76">
        <f t="shared" si="30"/>
        <v>0.42857142857142855</v>
      </c>
      <c r="G170" s="16">
        <v>2</v>
      </c>
      <c r="H170" s="16">
        <v>4</v>
      </c>
      <c r="I170" s="76">
        <f t="shared" si="31"/>
        <v>0.5</v>
      </c>
      <c r="J170" s="16">
        <v>2</v>
      </c>
      <c r="K170" s="16">
        <v>2</v>
      </c>
      <c r="L170" s="76">
        <f t="shared" si="32"/>
        <v>1</v>
      </c>
      <c r="M170" s="16">
        <v>4</v>
      </c>
      <c r="N170" s="16">
        <v>3</v>
      </c>
      <c r="O170" s="16">
        <v>0</v>
      </c>
      <c r="P170" s="16">
        <v>2</v>
      </c>
      <c r="Q170" s="16">
        <v>0</v>
      </c>
      <c r="R170" s="16">
        <v>10</v>
      </c>
    </row>
    <row r="171" spans="1:18" x14ac:dyDescent="0.25">
      <c r="A171" s="71">
        <v>42225</v>
      </c>
      <c r="B171" s="20"/>
      <c r="C171" s="15" t="s">
        <v>40</v>
      </c>
      <c r="D171" s="16">
        <v>6</v>
      </c>
      <c r="E171" s="16">
        <v>9</v>
      </c>
      <c r="F171" s="76">
        <f t="shared" si="30"/>
        <v>0.66666666666666663</v>
      </c>
      <c r="G171" s="16">
        <v>0</v>
      </c>
      <c r="H171" s="16">
        <v>0</v>
      </c>
      <c r="I171" s="76">
        <f t="shared" si="31"/>
        <v>0</v>
      </c>
      <c r="J171" s="16">
        <v>9</v>
      </c>
      <c r="K171" s="16">
        <v>9</v>
      </c>
      <c r="L171" s="76">
        <f t="shared" si="32"/>
        <v>1</v>
      </c>
      <c r="M171" s="16">
        <v>5</v>
      </c>
      <c r="N171" s="16">
        <v>2</v>
      </c>
      <c r="O171" s="16">
        <v>0</v>
      </c>
      <c r="P171" s="16">
        <v>2</v>
      </c>
      <c r="Q171" s="16">
        <v>0</v>
      </c>
      <c r="R171" s="16">
        <v>21</v>
      </c>
    </row>
    <row r="172" spans="1:18" x14ac:dyDescent="0.25">
      <c r="A172" s="71">
        <v>42225</v>
      </c>
      <c r="B172" s="20"/>
      <c r="C172" s="15" t="s">
        <v>42</v>
      </c>
      <c r="D172" s="16">
        <v>3</v>
      </c>
      <c r="E172" s="16">
        <v>7</v>
      </c>
      <c r="F172" s="76">
        <f t="shared" si="30"/>
        <v>0.42857142857142855</v>
      </c>
      <c r="G172" s="16">
        <v>0</v>
      </c>
      <c r="H172" s="16">
        <v>0</v>
      </c>
      <c r="I172" s="76">
        <f t="shared" si="31"/>
        <v>0</v>
      </c>
      <c r="J172" s="16">
        <v>1</v>
      </c>
      <c r="K172" s="16">
        <v>2</v>
      </c>
      <c r="L172" s="76">
        <f t="shared" si="32"/>
        <v>0.5</v>
      </c>
      <c r="M172" s="16">
        <v>11</v>
      </c>
      <c r="N172" s="16">
        <v>1</v>
      </c>
      <c r="O172" s="16">
        <v>0</v>
      </c>
      <c r="P172" s="16">
        <v>1</v>
      </c>
      <c r="Q172" s="16">
        <v>2</v>
      </c>
      <c r="R172" s="16">
        <v>7</v>
      </c>
    </row>
    <row r="173" spans="1:18" x14ac:dyDescent="0.25">
      <c r="A173" s="71">
        <v>42225</v>
      </c>
      <c r="B173" s="20"/>
      <c r="C173" s="15" t="s">
        <v>35</v>
      </c>
      <c r="D173" s="16">
        <v>6</v>
      </c>
      <c r="E173" s="16">
        <v>10</v>
      </c>
      <c r="F173" s="76">
        <f t="shared" si="30"/>
        <v>0.6</v>
      </c>
      <c r="G173" s="16">
        <v>1</v>
      </c>
      <c r="H173" s="16">
        <v>2</v>
      </c>
      <c r="I173" s="76">
        <f t="shared" si="31"/>
        <v>0.5</v>
      </c>
      <c r="J173" s="16">
        <v>5</v>
      </c>
      <c r="K173" s="16">
        <v>6</v>
      </c>
      <c r="L173" s="76">
        <f t="shared" si="32"/>
        <v>0.83333333333333337</v>
      </c>
      <c r="M173" s="16">
        <v>4</v>
      </c>
      <c r="N173" s="16">
        <v>4</v>
      </c>
      <c r="O173" s="16">
        <v>3</v>
      </c>
      <c r="P173" s="16">
        <v>0</v>
      </c>
      <c r="Q173" s="16">
        <v>0</v>
      </c>
      <c r="R173" s="16">
        <v>18</v>
      </c>
    </row>
    <row r="174" spans="1:18" x14ac:dyDescent="0.25">
      <c r="A174" s="71">
        <v>42225</v>
      </c>
      <c r="B174" s="20"/>
      <c r="C174" s="15" t="s">
        <v>41</v>
      </c>
      <c r="D174" s="16">
        <v>1</v>
      </c>
      <c r="E174" s="16">
        <v>5</v>
      </c>
      <c r="F174" s="76">
        <f t="shared" si="30"/>
        <v>0.2</v>
      </c>
      <c r="G174" s="16">
        <v>0</v>
      </c>
      <c r="H174" s="16">
        <v>1</v>
      </c>
      <c r="I174" s="76">
        <f t="shared" si="31"/>
        <v>0</v>
      </c>
      <c r="J174" s="16">
        <v>5</v>
      </c>
      <c r="K174" s="16">
        <v>6</v>
      </c>
      <c r="L174" s="76">
        <f t="shared" si="32"/>
        <v>0.83333333333333337</v>
      </c>
      <c r="M174" s="16">
        <v>0</v>
      </c>
      <c r="N174" s="16">
        <v>4</v>
      </c>
      <c r="O174" s="16">
        <v>1</v>
      </c>
      <c r="P174" s="16">
        <v>2</v>
      </c>
      <c r="Q174" s="16">
        <v>0</v>
      </c>
      <c r="R174" s="16">
        <v>7</v>
      </c>
    </row>
    <row r="175" spans="1:18" x14ac:dyDescent="0.25">
      <c r="A175" s="71">
        <v>42225</v>
      </c>
      <c r="B175" s="20"/>
      <c r="C175" s="15" t="s">
        <v>117</v>
      </c>
      <c r="D175" s="16">
        <v>0</v>
      </c>
      <c r="E175" s="16">
        <v>7</v>
      </c>
      <c r="F175" s="76">
        <f t="shared" si="30"/>
        <v>0</v>
      </c>
      <c r="G175" s="16">
        <v>0</v>
      </c>
      <c r="H175" s="16">
        <v>2</v>
      </c>
      <c r="I175" s="76">
        <f t="shared" si="31"/>
        <v>0</v>
      </c>
      <c r="J175" s="16">
        <v>2</v>
      </c>
      <c r="K175" s="16">
        <v>2</v>
      </c>
      <c r="L175" s="76">
        <f t="shared" si="32"/>
        <v>1</v>
      </c>
      <c r="M175" s="16">
        <v>1</v>
      </c>
      <c r="N175" s="16">
        <v>2</v>
      </c>
      <c r="O175" s="16">
        <v>2</v>
      </c>
      <c r="P175" s="16">
        <v>1</v>
      </c>
      <c r="Q175" s="16">
        <v>0</v>
      </c>
      <c r="R175" s="16">
        <v>2</v>
      </c>
    </row>
    <row r="176" spans="1:18" x14ac:dyDescent="0.25">
      <c r="A176" s="79">
        <v>42227</v>
      </c>
      <c r="B176" s="60"/>
      <c r="C176" s="59" t="s">
        <v>43</v>
      </c>
      <c r="D176" s="57">
        <v>4</v>
      </c>
      <c r="E176" s="57">
        <v>13</v>
      </c>
      <c r="F176" s="78">
        <f t="shared" ref="F176:F184" si="33">IF(E176=0,0,D176/E176)</f>
        <v>0.30769230769230771</v>
      </c>
      <c r="G176" s="57">
        <v>1</v>
      </c>
      <c r="H176" s="57">
        <v>5</v>
      </c>
      <c r="I176" s="78">
        <f t="shared" ref="I176:I184" si="34">IF(H176=0,0,G176/H176)</f>
        <v>0.2</v>
      </c>
      <c r="J176" s="57">
        <v>2</v>
      </c>
      <c r="K176" s="57">
        <v>2</v>
      </c>
      <c r="L176" s="78">
        <f t="shared" ref="L176:L184" si="35">IF(K176=0,0,J176/K176)</f>
        <v>1</v>
      </c>
      <c r="M176" s="57">
        <v>2</v>
      </c>
      <c r="N176" s="57">
        <v>1</v>
      </c>
      <c r="O176" s="57">
        <v>1</v>
      </c>
      <c r="P176" s="57">
        <v>2</v>
      </c>
      <c r="Q176" s="57">
        <v>0</v>
      </c>
      <c r="R176" s="57">
        <v>11</v>
      </c>
    </row>
    <row r="177" spans="1:18" x14ac:dyDescent="0.25">
      <c r="A177" s="79">
        <v>42227</v>
      </c>
      <c r="B177" s="60"/>
      <c r="C177" s="59" t="s">
        <v>40</v>
      </c>
      <c r="D177" s="57">
        <v>3</v>
      </c>
      <c r="E177" s="57">
        <v>7</v>
      </c>
      <c r="F177" s="78">
        <f t="shared" si="33"/>
        <v>0.42857142857142855</v>
      </c>
      <c r="G177" s="57">
        <v>0</v>
      </c>
      <c r="H177" s="57">
        <v>0</v>
      </c>
      <c r="I177" s="78">
        <f t="shared" si="34"/>
        <v>0</v>
      </c>
      <c r="J177" s="57">
        <v>0</v>
      </c>
      <c r="K177" s="57">
        <v>0</v>
      </c>
      <c r="L177" s="78">
        <f t="shared" si="35"/>
        <v>0</v>
      </c>
      <c r="M177" s="57">
        <v>4</v>
      </c>
      <c r="N177" s="57">
        <v>3</v>
      </c>
      <c r="O177" s="57">
        <v>0</v>
      </c>
      <c r="P177" s="57">
        <v>0</v>
      </c>
      <c r="Q177" s="57">
        <v>0</v>
      </c>
      <c r="R177" s="57">
        <v>6</v>
      </c>
    </row>
    <row r="178" spans="1:18" x14ac:dyDescent="0.25">
      <c r="A178" s="79">
        <v>42227</v>
      </c>
      <c r="B178" s="60"/>
      <c r="C178" s="59" t="s">
        <v>44</v>
      </c>
      <c r="D178" s="57">
        <v>4</v>
      </c>
      <c r="E178" s="57">
        <v>12</v>
      </c>
      <c r="F178" s="78">
        <f t="shared" si="33"/>
        <v>0.33333333333333331</v>
      </c>
      <c r="G178" s="57">
        <v>0</v>
      </c>
      <c r="H178" s="57">
        <v>0</v>
      </c>
      <c r="I178" s="78">
        <f t="shared" si="34"/>
        <v>0</v>
      </c>
      <c r="J178" s="57">
        <v>1</v>
      </c>
      <c r="K178" s="57">
        <v>1</v>
      </c>
      <c r="L178" s="78">
        <f t="shared" si="35"/>
        <v>1</v>
      </c>
      <c r="M178" s="57">
        <v>4</v>
      </c>
      <c r="N178" s="57">
        <v>9</v>
      </c>
      <c r="O178" s="57">
        <v>1</v>
      </c>
      <c r="P178" s="57">
        <v>6</v>
      </c>
      <c r="Q178" s="57">
        <v>0</v>
      </c>
      <c r="R178" s="57">
        <v>9</v>
      </c>
    </row>
    <row r="179" spans="1:18" x14ac:dyDescent="0.25">
      <c r="A179" s="79">
        <v>42227</v>
      </c>
      <c r="B179" s="60"/>
      <c r="C179" s="59" t="s">
        <v>117</v>
      </c>
      <c r="D179" s="57">
        <v>1</v>
      </c>
      <c r="E179" s="57">
        <v>7</v>
      </c>
      <c r="F179" s="78">
        <f t="shared" si="33"/>
        <v>0.14285714285714285</v>
      </c>
      <c r="G179" s="57">
        <v>0</v>
      </c>
      <c r="H179" s="57">
        <v>4</v>
      </c>
      <c r="I179" s="78">
        <f t="shared" si="34"/>
        <v>0</v>
      </c>
      <c r="J179" s="57">
        <v>2</v>
      </c>
      <c r="K179" s="57">
        <v>2</v>
      </c>
      <c r="L179" s="78">
        <f t="shared" si="35"/>
        <v>1</v>
      </c>
      <c r="M179" s="57">
        <v>2</v>
      </c>
      <c r="N179" s="57">
        <v>2</v>
      </c>
      <c r="O179" s="57">
        <v>0</v>
      </c>
      <c r="P179" s="57">
        <v>5</v>
      </c>
      <c r="Q179" s="57">
        <v>0</v>
      </c>
      <c r="R179" s="57">
        <v>4</v>
      </c>
    </row>
    <row r="180" spans="1:18" x14ac:dyDescent="0.25">
      <c r="A180" s="79">
        <v>42228</v>
      </c>
      <c r="B180" s="60"/>
      <c r="C180" s="59" t="s">
        <v>42</v>
      </c>
      <c r="D180" s="57">
        <v>5</v>
      </c>
      <c r="E180" s="57">
        <v>6</v>
      </c>
      <c r="F180" s="78">
        <f t="shared" si="33"/>
        <v>0.83333333333333337</v>
      </c>
      <c r="G180" s="57">
        <v>0</v>
      </c>
      <c r="H180" s="57">
        <v>0</v>
      </c>
      <c r="I180" s="78">
        <f t="shared" si="34"/>
        <v>0</v>
      </c>
      <c r="J180" s="57">
        <v>0</v>
      </c>
      <c r="K180" s="57">
        <v>0</v>
      </c>
      <c r="L180" s="78">
        <f t="shared" si="35"/>
        <v>0</v>
      </c>
      <c r="M180" s="57">
        <v>9</v>
      </c>
      <c r="N180" s="57">
        <v>1</v>
      </c>
      <c r="O180" s="57">
        <v>0</v>
      </c>
      <c r="P180" s="57">
        <v>2</v>
      </c>
      <c r="Q180" s="57">
        <v>2</v>
      </c>
      <c r="R180" s="57">
        <v>10</v>
      </c>
    </row>
    <row r="181" spans="1:18" x14ac:dyDescent="0.25">
      <c r="A181" s="79">
        <v>42228</v>
      </c>
      <c r="B181" s="60"/>
      <c r="C181" s="59" t="s">
        <v>41</v>
      </c>
      <c r="D181" s="57">
        <v>6</v>
      </c>
      <c r="E181" s="57">
        <v>16</v>
      </c>
      <c r="F181" s="78">
        <f t="shared" si="33"/>
        <v>0.375</v>
      </c>
      <c r="G181" s="57">
        <v>0</v>
      </c>
      <c r="H181" s="57">
        <v>3</v>
      </c>
      <c r="I181" s="78">
        <f t="shared" si="34"/>
        <v>0</v>
      </c>
      <c r="J181" s="57">
        <v>3</v>
      </c>
      <c r="K181" s="57">
        <v>4</v>
      </c>
      <c r="L181" s="78">
        <f t="shared" si="35"/>
        <v>0.75</v>
      </c>
      <c r="M181" s="57">
        <v>4</v>
      </c>
      <c r="N181" s="57">
        <v>6</v>
      </c>
      <c r="O181" s="57">
        <v>1</v>
      </c>
      <c r="P181" s="57">
        <v>2</v>
      </c>
      <c r="Q181" s="57">
        <v>0</v>
      </c>
      <c r="R181" s="57">
        <v>15</v>
      </c>
    </row>
    <row r="182" spans="1:18" x14ac:dyDescent="0.25">
      <c r="A182" s="79">
        <v>42228</v>
      </c>
      <c r="B182" s="60"/>
      <c r="C182" s="59" t="s">
        <v>55</v>
      </c>
      <c r="D182" s="57">
        <v>4</v>
      </c>
      <c r="E182" s="57">
        <v>6</v>
      </c>
      <c r="F182" s="78">
        <f t="shared" si="33"/>
        <v>0.66666666666666663</v>
      </c>
      <c r="G182" s="57">
        <v>3</v>
      </c>
      <c r="H182" s="57">
        <v>4</v>
      </c>
      <c r="I182" s="78">
        <f t="shared" si="34"/>
        <v>0.75</v>
      </c>
      <c r="J182" s="57">
        <v>0</v>
      </c>
      <c r="K182" s="57">
        <v>0</v>
      </c>
      <c r="L182" s="78">
        <f t="shared" si="35"/>
        <v>0</v>
      </c>
      <c r="M182" s="57">
        <v>3</v>
      </c>
      <c r="N182" s="57">
        <v>1</v>
      </c>
      <c r="O182" s="57">
        <v>0</v>
      </c>
      <c r="P182" s="57">
        <v>2</v>
      </c>
      <c r="Q182" s="57">
        <v>0</v>
      </c>
      <c r="R182" s="57">
        <v>11</v>
      </c>
    </row>
    <row r="183" spans="1:18" x14ac:dyDescent="0.25">
      <c r="A183" s="79">
        <v>42228</v>
      </c>
      <c r="B183" s="60"/>
      <c r="C183" s="59" t="s">
        <v>45</v>
      </c>
      <c r="D183" s="57">
        <v>4</v>
      </c>
      <c r="E183" s="57">
        <v>8</v>
      </c>
      <c r="F183" s="78">
        <f t="shared" si="33"/>
        <v>0.5</v>
      </c>
      <c r="G183" s="57">
        <v>0</v>
      </c>
      <c r="H183" s="57">
        <v>2</v>
      </c>
      <c r="I183" s="78">
        <f t="shared" si="34"/>
        <v>0</v>
      </c>
      <c r="J183" s="57">
        <v>1</v>
      </c>
      <c r="K183" s="57">
        <v>1</v>
      </c>
      <c r="L183" s="78">
        <f t="shared" si="35"/>
        <v>1</v>
      </c>
      <c r="M183" s="57">
        <v>1</v>
      </c>
      <c r="N183" s="57">
        <v>2</v>
      </c>
      <c r="O183" s="57">
        <v>0</v>
      </c>
      <c r="P183" s="57">
        <v>1</v>
      </c>
      <c r="Q183" s="57">
        <v>1</v>
      </c>
      <c r="R183" s="57">
        <v>9</v>
      </c>
    </row>
    <row r="184" spans="1:18" x14ac:dyDescent="0.25">
      <c r="A184" s="79">
        <v>42230</v>
      </c>
      <c r="B184" s="60"/>
      <c r="C184" s="59" t="s">
        <v>55</v>
      </c>
      <c r="D184" s="57">
        <v>2</v>
      </c>
      <c r="E184" s="57">
        <v>6</v>
      </c>
      <c r="F184" s="78">
        <f t="shared" si="33"/>
        <v>0.33333333333333331</v>
      </c>
      <c r="G184" s="57">
        <v>2</v>
      </c>
      <c r="H184" s="57">
        <v>4</v>
      </c>
      <c r="I184" s="78">
        <f t="shared" si="34"/>
        <v>0.5</v>
      </c>
      <c r="J184" s="57">
        <v>0</v>
      </c>
      <c r="K184" s="57">
        <v>0</v>
      </c>
      <c r="L184" s="78">
        <f t="shared" si="35"/>
        <v>0</v>
      </c>
      <c r="M184" s="57">
        <v>0</v>
      </c>
      <c r="N184" s="57">
        <v>0</v>
      </c>
      <c r="O184" s="57">
        <v>1</v>
      </c>
      <c r="P184" s="57">
        <v>2</v>
      </c>
      <c r="Q184" s="57">
        <v>0</v>
      </c>
      <c r="R184" s="57">
        <v>6</v>
      </c>
    </row>
    <row r="185" spans="1:18" x14ac:dyDescent="0.25">
      <c r="A185" s="43">
        <v>42231</v>
      </c>
      <c r="B185" s="47"/>
      <c r="C185" s="81" t="s">
        <v>42</v>
      </c>
      <c r="D185" s="84">
        <v>3</v>
      </c>
      <c r="E185" s="84">
        <v>5</v>
      </c>
      <c r="F185" s="85">
        <f t="shared" ref="F185:F192" si="36">IF(E185=0,0,D185/E185)</f>
        <v>0.6</v>
      </c>
      <c r="G185" s="84">
        <v>0</v>
      </c>
      <c r="H185" s="84">
        <v>0</v>
      </c>
      <c r="I185" s="85">
        <f t="shared" ref="I185:I192" si="37">IF(H185=0,0,G185/H185)</f>
        <v>0</v>
      </c>
      <c r="J185" s="84">
        <v>0</v>
      </c>
      <c r="K185" s="84">
        <v>0</v>
      </c>
      <c r="L185" s="85">
        <f t="shared" ref="L185:L192" si="38">IF(K185=0,0,J185/K185)</f>
        <v>0</v>
      </c>
      <c r="M185" s="84">
        <v>10</v>
      </c>
      <c r="N185" s="84">
        <v>1</v>
      </c>
      <c r="O185" s="84">
        <v>0</v>
      </c>
      <c r="P185" s="84">
        <v>2</v>
      </c>
      <c r="Q185" s="84">
        <v>1</v>
      </c>
      <c r="R185" s="84">
        <v>6</v>
      </c>
    </row>
    <row r="186" spans="1:18" x14ac:dyDescent="0.25">
      <c r="A186" s="43">
        <v>42231</v>
      </c>
      <c r="B186" s="47"/>
      <c r="C186" s="81" t="s">
        <v>41</v>
      </c>
      <c r="D186" s="84">
        <v>5</v>
      </c>
      <c r="E186" s="84">
        <v>10</v>
      </c>
      <c r="F186" s="85">
        <f t="shared" si="36"/>
        <v>0.5</v>
      </c>
      <c r="G186" s="84">
        <v>2</v>
      </c>
      <c r="H186" s="84">
        <v>3</v>
      </c>
      <c r="I186" s="85">
        <f t="shared" si="37"/>
        <v>0.66666666666666663</v>
      </c>
      <c r="J186" s="84">
        <v>15</v>
      </c>
      <c r="K186" s="84">
        <v>16</v>
      </c>
      <c r="L186" s="85">
        <f t="shared" si="38"/>
        <v>0.9375</v>
      </c>
      <c r="M186" s="84">
        <v>3</v>
      </c>
      <c r="N186" s="84">
        <v>7</v>
      </c>
      <c r="O186" s="84">
        <v>0</v>
      </c>
      <c r="P186" s="84">
        <v>3</v>
      </c>
      <c r="Q186" s="84">
        <v>0</v>
      </c>
      <c r="R186" s="84">
        <v>27</v>
      </c>
    </row>
    <row r="187" spans="1:18" x14ac:dyDescent="0.25">
      <c r="A187" s="43">
        <v>42232</v>
      </c>
      <c r="B187" s="47"/>
      <c r="C187" s="80" t="s">
        <v>55</v>
      </c>
      <c r="D187" s="84">
        <v>4</v>
      </c>
      <c r="E187" s="84">
        <v>9</v>
      </c>
      <c r="F187" s="85">
        <f t="shared" si="36"/>
        <v>0.44444444444444442</v>
      </c>
      <c r="G187" s="84">
        <v>2</v>
      </c>
      <c r="H187" s="84">
        <v>3</v>
      </c>
      <c r="I187" s="85">
        <f t="shared" si="37"/>
        <v>0.66666666666666663</v>
      </c>
      <c r="J187" s="84">
        <v>3</v>
      </c>
      <c r="K187" s="84">
        <v>3</v>
      </c>
      <c r="L187" s="85">
        <f t="shared" si="38"/>
        <v>1</v>
      </c>
      <c r="M187" s="84">
        <v>10</v>
      </c>
      <c r="N187" s="84">
        <v>1</v>
      </c>
      <c r="O187" s="84">
        <v>1</v>
      </c>
      <c r="P187" s="84">
        <v>2</v>
      </c>
      <c r="Q187" s="84">
        <v>2</v>
      </c>
      <c r="R187" s="84">
        <v>13</v>
      </c>
    </row>
    <row r="188" spans="1:18" x14ac:dyDescent="0.25">
      <c r="A188" s="43">
        <v>42232</v>
      </c>
      <c r="B188" s="47"/>
      <c r="C188" s="80" t="s">
        <v>40</v>
      </c>
      <c r="D188" s="84">
        <v>5</v>
      </c>
      <c r="E188" s="84">
        <v>12</v>
      </c>
      <c r="F188" s="85">
        <f t="shared" si="36"/>
        <v>0.41666666666666669</v>
      </c>
      <c r="G188" s="84">
        <v>2</v>
      </c>
      <c r="H188" s="84">
        <v>2</v>
      </c>
      <c r="I188" s="85">
        <f t="shared" si="37"/>
        <v>1</v>
      </c>
      <c r="J188" s="84">
        <v>0</v>
      </c>
      <c r="K188" s="84">
        <v>0</v>
      </c>
      <c r="L188" s="85">
        <f t="shared" si="38"/>
        <v>0</v>
      </c>
      <c r="M188" s="84">
        <v>8</v>
      </c>
      <c r="N188" s="84">
        <v>1</v>
      </c>
      <c r="O188" s="84">
        <v>0</v>
      </c>
      <c r="P188" s="84">
        <v>1</v>
      </c>
      <c r="Q188" s="84">
        <v>0</v>
      </c>
      <c r="R188" s="84">
        <v>12</v>
      </c>
    </row>
    <row r="189" spans="1:18" x14ac:dyDescent="0.25">
      <c r="A189" s="43">
        <v>42232</v>
      </c>
      <c r="B189" s="47"/>
      <c r="C189" s="80" t="s">
        <v>117</v>
      </c>
      <c r="D189" s="84">
        <v>0</v>
      </c>
      <c r="E189" s="84">
        <v>0</v>
      </c>
      <c r="F189" s="85">
        <f t="shared" si="36"/>
        <v>0</v>
      </c>
      <c r="G189" s="84">
        <v>0</v>
      </c>
      <c r="H189" s="84">
        <v>0</v>
      </c>
      <c r="I189" s="85">
        <f t="shared" si="37"/>
        <v>0</v>
      </c>
      <c r="J189" s="84">
        <v>0</v>
      </c>
      <c r="K189" s="84">
        <v>0</v>
      </c>
      <c r="L189" s="85">
        <f t="shared" si="38"/>
        <v>0</v>
      </c>
      <c r="M189" s="84">
        <v>1</v>
      </c>
      <c r="N189" s="84">
        <v>0</v>
      </c>
      <c r="O189" s="84">
        <v>0</v>
      </c>
      <c r="P189" s="84">
        <v>0</v>
      </c>
      <c r="Q189" s="84">
        <v>0</v>
      </c>
      <c r="R189" s="84">
        <v>0</v>
      </c>
    </row>
    <row r="190" spans="1:18" x14ac:dyDescent="0.25">
      <c r="A190" s="43">
        <v>42232</v>
      </c>
      <c r="B190" s="47"/>
      <c r="C190" s="22" t="s">
        <v>43</v>
      </c>
      <c r="D190" s="84">
        <v>4</v>
      </c>
      <c r="E190" s="84">
        <v>6</v>
      </c>
      <c r="F190" s="85">
        <f t="shared" si="36"/>
        <v>0.66666666666666663</v>
      </c>
      <c r="G190" s="84">
        <v>1</v>
      </c>
      <c r="H190" s="84">
        <v>2</v>
      </c>
      <c r="I190" s="85">
        <f t="shared" si="37"/>
        <v>0.5</v>
      </c>
      <c r="J190" s="84">
        <v>0</v>
      </c>
      <c r="K190" s="84">
        <v>0</v>
      </c>
      <c r="L190" s="85">
        <f t="shared" si="38"/>
        <v>0</v>
      </c>
      <c r="M190" s="84">
        <v>6</v>
      </c>
      <c r="N190" s="84">
        <v>2</v>
      </c>
      <c r="O190" s="84">
        <v>1</v>
      </c>
      <c r="P190" s="84">
        <v>2</v>
      </c>
      <c r="Q190" s="84">
        <v>1</v>
      </c>
      <c r="R190" s="84">
        <v>9</v>
      </c>
    </row>
    <row r="191" spans="1:18" x14ac:dyDescent="0.25">
      <c r="A191" s="43">
        <v>42232</v>
      </c>
      <c r="B191" s="47"/>
      <c r="C191" s="22" t="s">
        <v>45</v>
      </c>
      <c r="D191" s="84">
        <v>2</v>
      </c>
      <c r="E191" s="84">
        <v>7</v>
      </c>
      <c r="F191" s="85">
        <f t="shared" si="36"/>
        <v>0.2857142857142857</v>
      </c>
      <c r="G191" s="84">
        <v>0</v>
      </c>
      <c r="H191" s="84">
        <v>3</v>
      </c>
      <c r="I191" s="85">
        <f t="shared" si="37"/>
        <v>0</v>
      </c>
      <c r="J191" s="84">
        <v>2</v>
      </c>
      <c r="K191" s="84">
        <v>2</v>
      </c>
      <c r="L191" s="85">
        <f t="shared" si="38"/>
        <v>1</v>
      </c>
      <c r="M191" s="84">
        <v>2</v>
      </c>
      <c r="N191" s="84">
        <v>1</v>
      </c>
      <c r="O191" s="84">
        <v>0</v>
      </c>
      <c r="P191" s="84">
        <v>0</v>
      </c>
      <c r="Q191" s="84">
        <v>0</v>
      </c>
      <c r="R191" s="84">
        <v>6</v>
      </c>
    </row>
    <row r="192" spans="1:18" x14ac:dyDescent="0.25">
      <c r="A192" s="43">
        <v>42232</v>
      </c>
      <c r="B192" s="47"/>
      <c r="C192" s="22" t="s">
        <v>44</v>
      </c>
      <c r="D192" s="84">
        <v>4</v>
      </c>
      <c r="E192" s="84">
        <v>12</v>
      </c>
      <c r="F192" s="85">
        <f t="shared" si="36"/>
        <v>0.33333333333333331</v>
      </c>
      <c r="G192" s="84">
        <v>0</v>
      </c>
      <c r="H192" s="84">
        <v>0</v>
      </c>
      <c r="I192" s="85">
        <f t="shared" si="37"/>
        <v>0</v>
      </c>
      <c r="J192" s="84">
        <v>3</v>
      </c>
      <c r="K192" s="84">
        <v>3</v>
      </c>
      <c r="L192" s="85">
        <f t="shared" si="38"/>
        <v>1</v>
      </c>
      <c r="M192" s="84">
        <v>4</v>
      </c>
      <c r="N192" s="84">
        <v>3</v>
      </c>
      <c r="O192" s="84">
        <v>2</v>
      </c>
      <c r="P192" s="84">
        <v>4</v>
      </c>
      <c r="Q192" s="84">
        <v>0</v>
      </c>
      <c r="R192" s="84">
        <v>11</v>
      </c>
    </row>
    <row r="193" spans="1:18" x14ac:dyDescent="0.25">
      <c r="A193" s="71">
        <v>42234</v>
      </c>
      <c r="B193" s="20"/>
      <c r="C193" s="15" t="s">
        <v>45</v>
      </c>
      <c r="D193" s="16">
        <v>2</v>
      </c>
      <c r="E193" s="16">
        <v>3</v>
      </c>
      <c r="F193" s="96">
        <f t="shared" ref="F193:F208" si="39">IF(E193=0,0,D193/E193)</f>
        <v>0.66666666666666663</v>
      </c>
      <c r="G193" s="16">
        <v>0</v>
      </c>
      <c r="H193" s="16">
        <v>0</v>
      </c>
      <c r="I193" s="96">
        <f t="shared" ref="I193:I208" si="40">IF(H193=0,0,G193/H193)</f>
        <v>0</v>
      </c>
      <c r="J193" s="16">
        <v>0</v>
      </c>
      <c r="K193" s="16">
        <v>0</v>
      </c>
      <c r="L193" s="96">
        <f t="shared" ref="L193:L208" si="41">IF(K193=0,0,J193/K193)</f>
        <v>0</v>
      </c>
      <c r="M193" s="16">
        <v>3</v>
      </c>
      <c r="N193" s="16">
        <v>0</v>
      </c>
      <c r="O193" s="16">
        <v>0</v>
      </c>
      <c r="P193" s="16">
        <v>1</v>
      </c>
      <c r="Q193" s="16">
        <v>1</v>
      </c>
      <c r="R193" s="16">
        <v>4</v>
      </c>
    </row>
    <row r="194" spans="1:18" x14ac:dyDescent="0.25">
      <c r="A194" s="71">
        <v>42234</v>
      </c>
      <c r="B194" s="20"/>
      <c r="C194" s="15" t="s">
        <v>42</v>
      </c>
      <c r="D194" s="16">
        <v>5</v>
      </c>
      <c r="E194" s="16">
        <v>8</v>
      </c>
      <c r="F194" s="96">
        <f t="shared" si="39"/>
        <v>0.625</v>
      </c>
      <c r="G194" s="16">
        <v>0</v>
      </c>
      <c r="H194" s="16">
        <v>0</v>
      </c>
      <c r="I194" s="96">
        <f t="shared" si="40"/>
        <v>0</v>
      </c>
      <c r="J194" s="16">
        <v>1</v>
      </c>
      <c r="K194" s="16">
        <v>2</v>
      </c>
      <c r="L194" s="96">
        <f t="shared" si="41"/>
        <v>0.5</v>
      </c>
      <c r="M194" s="16">
        <v>11</v>
      </c>
      <c r="N194" s="16">
        <v>2</v>
      </c>
      <c r="O194" s="16">
        <v>0</v>
      </c>
      <c r="P194" s="16">
        <v>2</v>
      </c>
      <c r="Q194" s="16">
        <v>1</v>
      </c>
      <c r="R194" s="16">
        <v>11</v>
      </c>
    </row>
    <row r="195" spans="1:18" x14ac:dyDescent="0.25">
      <c r="A195" s="71">
        <v>42234</v>
      </c>
      <c r="B195" s="20"/>
      <c r="C195" s="15" t="s">
        <v>41</v>
      </c>
      <c r="D195" s="16">
        <v>6</v>
      </c>
      <c r="E195" s="16">
        <v>15</v>
      </c>
      <c r="F195" s="96">
        <f t="shared" si="39"/>
        <v>0.4</v>
      </c>
      <c r="G195" s="16">
        <v>1</v>
      </c>
      <c r="H195" s="16">
        <v>4</v>
      </c>
      <c r="I195" s="96">
        <f t="shared" si="40"/>
        <v>0.25</v>
      </c>
      <c r="J195" s="16">
        <v>2</v>
      </c>
      <c r="K195" s="16">
        <v>2</v>
      </c>
      <c r="L195" s="96">
        <f t="shared" si="41"/>
        <v>1</v>
      </c>
      <c r="M195" s="16">
        <v>3</v>
      </c>
      <c r="N195" s="16">
        <v>2</v>
      </c>
      <c r="O195" s="16">
        <v>1</v>
      </c>
      <c r="P195" s="16">
        <v>1</v>
      </c>
      <c r="Q195" s="16">
        <v>0</v>
      </c>
      <c r="R195" s="16">
        <v>15</v>
      </c>
    </row>
    <row r="196" spans="1:18" x14ac:dyDescent="0.25">
      <c r="A196" s="71">
        <v>42234</v>
      </c>
      <c r="B196" s="20"/>
      <c r="C196" s="15" t="s">
        <v>43</v>
      </c>
      <c r="D196" s="16">
        <v>5</v>
      </c>
      <c r="E196" s="16">
        <v>14</v>
      </c>
      <c r="F196" s="96">
        <f t="shared" si="39"/>
        <v>0.35714285714285715</v>
      </c>
      <c r="G196" s="16">
        <v>3</v>
      </c>
      <c r="H196" s="16">
        <v>5</v>
      </c>
      <c r="I196" s="96">
        <f t="shared" si="40"/>
        <v>0.6</v>
      </c>
      <c r="J196" s="16">
        <v>1</v>
      </c>
      <c r="K196" s="16">
        <v>1</v>
      </c>
      <c r="L196" s="96">
        <f t="shared" si="41"/>
        <v>1</v>
      </c>
      <c r="M196" s="16">
        <v>4</v>
      </c>
      <c r="N196" s="16">
        <v>2</v>
      </c>
      <c r="O196" s="16">
        <v>2</v>
      </c>
      <c r="P196" s="16">
        <v>2</v>
      </c>
      <c r="Q196" s="16">
        <v>0</v>
      </c>
      <c r="R196" s="16">
        <v>14</v>
      </c>
    </row>
    <row r="197" spans="1:18" x14ac:dyDescent="0.25">
      <c r="A197" s="71">
        <v>42234</v>
      </c>
      <c r="B197" s="20"/>
      <c r="C197" s="15" t="s">
        <v>117</v>
      </c>
      <c r="D197" s="16">
        <v>4</v>
      </c>
      <c r="E197" s="16">
        <v>8</v>
      </c>
      <c r="F197" s="96">
        <f t="shared" si="39"/>
        <v>0.5</v>
      </c>
      <c r="G197" s="16">
        <v>1</v>
      </c>
      <c r="H197" s="16">
        <v>2</v>
      </c>
      <c r="I197" s="96">
        <f t="shared" si="40"/>
        <v>0.5</v>
      </c>
      <c r="J197" s="16">
        <v>0</v>
      </c>
      <c r="K197" s="16">
        <v>0</v>
      </c>
      <c r="L197" s="96">
        <f t="shared" si="41"/>
        <v>0</v>
      </c>
      <c r="M197" s="16">
        <v>3</v>
      </c>
      <c r="N197" s="16">
        <v>1</v>
      </c>
      <c r="O197" s="16">
        <v>0</v>
      </c>
      <c r="P197" s="16">
        <v>0</v>
      </c>
      <c r="Q197" s="16">
        <v>0</v>
      </c>
      <c r="R197" s="16">
        <v>9</v>
      </c>
    </row>
    <row r="198" spans="1:18" x14ac:dyDescent="0.25">
      <c r="A198" s="71">
        <v>42235</v>
      </c>
      <c r="B198" s="20"/>
      <c r="C198" s="15" t="s">
        <v>40</v>
      </c>
      <c r="D198" s="16">
        <v>2</v>
      </c>
      <c r="E198" s="16">
        <v>5</v>
      </c>
      <c r="F198" s="96">
        <f t="shared" si="39"/>
        <v>0.4</v>
      </c>
      <c r="G198" s="16">
        <v>0</v>
      </c>
      <c r="H198" s="16">
        <v>0</v>
      </c>
      <c r="I198" s="96">
        <f t="shared" si="40"/>
        <v>0</v>
      </c>
      <c r="J198" s="16">
        <v>0</v>
      </c>
      <c r="K198" s="16">
        <v>0</v>
      </c>
      <c r="L198" s="96">
        <f t="shared" si="41"/>
        <v>0</v>
      </c>
      <c r="M198" s="16">
        <v>3</v>
      </c>
      <c r="N198" s="16">
        <v>3</v>
      </c>
      <c r="O198" s="16">
        <v>0</v>
      </c>
      <c r="P198" s="16">
        <v>3</v>
      </c>
      <c r="Q198" s="16">
        <v>1</v>
      </c>
      <c r="R198" s="16">
        <v>4</v>
      </c>
    </row>
    <row r="199" spans="1:18" x14ac:dyDescent="0.25">
      <c r="A199" s="71">
        <v>42237</v>
      </c>
      <c r="B199" s="20"/>
      <c r="C199" s="15" t="s">
        <v>44</v>
      </c>
      <c r="D199" s="16">
        <v>4</v>
      </c>
      <c r="E199" s="16">
        <v>11</v>
      </c>
      <c r="F199" s="96">
        <f t="shared" si="39"/>
        <v>0.36363636363636365</v>
      </c>
      <c r="G199" s="16">
        <v>0</v>
      </c>
      <c r="H199" s="16">
        <v>0</v>
      </c>
      <c r="I199" s="96">
        <f t="shared" si="40"/>
        <v>0</v>
      </c>
      <c r="J199" s="16">
        <v>0</v>
      </c>
      <c r="K199" s="16">
        <v>0</v>
      </c>
      <c r="L199" s="96">
        <f t="shared" si="41"/>
        <v>0</v>
      </c>
      <c r="M199" s="16">
        <v>4</v>
      </c>
      <c r="N199" s="16">
        <v>6</v>
      </c>
      <c r="O199" s="16">
        <v>1</v>
      </c>
      <c r="P199" s="16">
        <v>1</v>
      </c>
      <c r="Q199" s="16">
        <v>0</v>
      </c>
      <c r="R199" s="16">
        <v>8</v>
      </c>
    </row>
    <row r="200" spans="1:18" x14ac:dyDescent="0.25">
      <c r="A200" s="71">
        <v>42237</v>
      </c>
      <c r="B200" s="20"/>
      <c r="C200" s="15" t="s">
        <v>42</v>
      </c>
      <c r="D200" s="16">
        <v>2</v>
      </c>
      <c r="E200" s="16">
        <v>4</v>
      </c>
      <c r="F200" s="96">
        <f t="shared" si="39"/>
        <v>0.5</v>
      </c>
      <c r="G200" s="16">
        <v>0</v>
      </c>
      <c r="H200" s="16">
        <v>0</v>
      </c>
      <c r="I200" s="96">
        <f t="shared" si="40"/>
        <v>0</v>
      </c>
      <c r="J200" s="16">
        <v>2</v>
      </c>
      <c r="K200" s="16">
        <v>4</v>
      </c>
      <c r="L200" s="96">
        <f t="shared" si="41"/>
        <v>0.5</v>
      </c>
      <c r="M200" s="16">
        <v>7</v>
      </c>
      <c r="N200" s="16">
        <v>1</v>
      </c>
      <c r="O200" s="16">
        <v>0</v>
      </c>
      <c r="P200" s="16">
        <v>1</v>
      </c>
      <c r="Q200" s="16">
        <v>1</v>
      </c>
      <c r="R200" s="16">
        <v>6</v>
      </c>
    </row>
    <row r="201" spans="1:18" x14ac:dyDescent="0.25">
      <c r="A201" s="71">
        <v>42237</v>
      </c>
      <c r="B201" s="20"/>
      <c r="C201" s="15" t="s">
        <v>35</v>
      </c>
      <c r="D201" s="16">
        <v>3</v>
      </c>
      <c r="E201" s="16">
        <v>9</v>
      </c>
      <c r="F201" s="96">
        <f t="shared" si="39"/>
        <v>0.33333333333333331</v>
      </c>
      <c r="G201" s="16">
        <v>0</v>
      </c>
      <c r="H201" s="16">
        <v>2</v>
      </c>
      <c r="I201" s="96">
        <f t="shared" si="40"/>
        <v>0</v>
      </c>
      <c r="J201" s="16">
        <v>4</v>
      </c>
      <c r="K201" s="16">
        <v>4</v>
      </c>
      <c r="L201" s="96">
        <f t="shared" si="41"/>
        <v>1</v>
      </c>
      <c r="M201" s="16">
        <v>8</v>
      </c>
      <c r="N201" s="16">
        <v>5</v>
      </c>
      <c r="O201" s="16">
        <v>1</v>
      </c>
      <c r="P201" s="16">
        <v>0</v>
      </c>
      <c r="Q201" s="16">
        <v>0</v>
      </c>
      <c r="R201" s="16">
        <v>10</v>
      </c>
    </row>
    <row r="202" spans="1:18" x14ac:dyDescent="0.25">
      <c r="A202" s="71">
        <v>42237</v>
      </c>
      <c r="B202" s="20"/>
      <c r="C202" s="15" t="s">
        <v>41</v>
      </c>
      <c r="D202" s="16">
        <v>6</v>
      </c>
      <c r="E202" s="16">
        <v>14</v>
      </c>
      <c r="F202" s="96">
        <f t="shared" si="39"/>
        <v>0.42857142857142855</v>
      </c>
      <c r="G202" s="16">
        <v>1</v>
      </c>
      <c r="H202" s="16">
        <v>3</v>
      </c>
      <c r="I202" s="96">
        <f t="shared" si="40"/>
        <v>0.33333333333333331</v>
      </c>
      <c r="J202" s="16">
        <v>6</v>
      </c>
      <c r="K202" s="16">
        <v>7</v>
      </c>
      <c r="L202" s="96">
        <f t="shared" si="41"/>
        <v>0.8571428571428571</v>
      </c>
      <c r="M202" s="16">
        <v>2</v>
      </c>
      <c r="N202" s="16">
        <v>2</v>
      </c>
      <c r="O202" s="16">
        <v>2</v>
      </c>
      <c r="P202" s="16">
        <v>1</v>
      </c>
      <c r="Q202" s="16">
        <v>0</v>
      </c>
      <c r="R202" s="16">
        <v>19</v>
      </c>
    </row>
    <row r="203" spans="1:18" x14ac:dyDescent="0.25">
      <c r="A203" s="71">
        <v>42237</v>
      </c>
      <c r="B203" s="20"/>
      <c r="C203" s="15" t="s">
        <v>40</v>
      </c>
      <c r="D203" s="16">
        <v>7</v>
      </c>
      <c r="E203" s="16">
        <v>12</v>
      </c>
      <c r="F203" s="96">
        <f t="shared" si="39"/>
        <v>0.58333333333333337</v>
      </c>
      <c r="G203" s="16">
        <v>0</v>
      </c>
      <c r="H203" s="16">
        <v>1</v>
      </c>
      <c r="I203" s="96">
        <f t="shared" si="40"/>
        <v>0</v>
      </c>
      <c r="J203" s="16">
        <v>0</v>
      </c>
      <c r="K203" s="16">
        <v>0</v>
      </c>
      <c r="L203" s="96">
        <f t="shared" si="41"/>
        <v>0</v>
      </c>
      <c r="M203" s="16">
        <v>0</v>
      </c>
      <c r="N203" s="16">
        <v>0</v>
      </c>
      <c r="O203" s="16">
        <v>1</v>
      </c>
      <c r="P203" s="16">
        <v>2</v>
      </c>
      <c r="Q203" s="16">
        <v>2</v>
      </c>
      <c r="R203" s="16">
        <v>14</v>
      </c>
    </row>
    <row r="204" spans="1:18" x14ac:dyDescent="0.25">
      <c r="A204" s="71">
        <v>42237</v>
      </c>
      <c r="B204" s="20"/>
      <c r="C204" s="15" t="s">
        <v>43</v>
      </c>
      <c r="D204" s="16">
        <v>1</v>
      </c>
      <c r="E204" s="16">
        <v>6</v>
      </c>
      <c r="F204" s="96">
        <f t="shared" si="39"/>
        <v>0.16666666666666666</v>
      </c>
      <c r="G204" s="16">
        <v>1</v>
      </c>
      <c r="H204" s="16">
        <v>5</v>
      </c>
      <c r="I204" s="96">
        <f t="shared" si="40"/>
        <v>0.2</v>
      </c>
      <c r="J204" s="16">
        <v>0</v>
      </c>
      <c r="K204" s="16">
        <v>0</v>
      </c>
      <c r="L204" s="96">
        <f t="shared" si="41"/>
        <v>0</v>
      </c>
      <c r="M204" s="16">
        <v>4</v>
      </c>
      <c r="N204" s="16">
        <v>4</v>
      </c>
      <c r="O204" s="16">
        <v>4</v>
      </c>
      <c r="P204" s="16">
        <v>0</v>
      </c>
      <c r="Q204" s="16">
        <v>0</v>
      </c>
      <c r="R204" s="16">
        <v>3</v>
      </c>
    </row>
    <row r="205" spans="1:18" x14ac:dyDescent="0.25">
      <c r="A205" s="21">
        <v>42239</v>
      </c>
      <c r="B205" s="20"/>
      <c r="C205" s="15" t="s">
        <v>40</v>
      </c>
      <c r="D205" s="16">
        <v>1</v>
      </c>
      <c r="E205" s="16">
        <v>6</v>
      </c>
      <c r="F205" s="96">
        <f t="shared" si="39"/>
        <v>0.16666666666666666</v>
      </c>
      <c r="G205" s="16">
        <v>0</v>
      </c>
      <c r="H205" s="16">
        <v>1</v>
      </c>
      <c r="I205" s="96">
        <f t="shared" si="40"/>
        <v>0</v>
      </c>
      <c r="J205" s="16">
        <v>4</v>
      </c>
      <c r="K205" s="16">
        <v>6</v>
      </c>
      <c r="L205" s="96">
        <f t="shared" si="41"/>
        <v>0.66666666666666663</v>
      </c>
      <c r="M205" s="16">
        <v>6</v>
      </c>
      <c r="N205" s="16">
        <v>0</v>
      </c>
      <c r="O205" s="16">
        <v>2</v>
      </c>
      <c r="P205" s="16">
        <v>4</v>
      </c>
      <c r="Q205" s="16">
        <v>1</v>
      </c>
      <c r="R205" s="16">
        <v>6</v>
      </c>
    </row>
    <row r="206" spans="1:18" x14ac:dyDescent="0.25">
      <c r="A206" s="21">
        <v>42239</v>
      </c>
      <c r="B206" s="20"/>
      <c r="C206" s="15" t="s">
        <v>44</v>
      </c>
      <c r="D206" s="16">
        <v>1</v>
      </c>
      <c r="E206" s="16">
        <v>3</v>
      </c>
      <c r="F206" s="96">
        <f t="shared" si="39"/>
        <v>0.33333333333333331</v>
      </c>
      <c r="G206" s="16">
        <v>0</v>
      </c>
      <c r="H206" s="16">
        <v>0</v>
      </c>
      <c r="I206" s="96">
        <f t="shared" si="40"/>
        <v>0</v>
      </c>
      <c r="J206" s="16">
        <v>1</v>
      </c>
      <c r="K206" s="16">
        <v>1</v>
      </c>
      <c r="L206" s="96">
        <f t="shared" si="41"/>
        <v>1</v>
      </c>
      <c r="M206" s="16">
        <v>2</v>
      </c>
      <c r="N206" s="16">
        <v>1</v>
      </c>
      <c r="O206" s="16">
        <v>1</v>
      </c>
      <c r="P206" s="16">
        <v>2</v>
      </c>
      <c r="Q206" s="16">
        <v>0</v>
      </c>
      <c r="R206" s="16">
        <v>3</v>
      </c>
    </row>
    <row r="207" spans="1:18" x14ac:dyDescent="0.25">
      <c r="A207" s="21">
        <v>42239</v>
      </c>
      <c r="B207" s="20"/>
      <c r="C207" s="15" t="s">
        <v>45</v>
      </c>
      <c r="D207" s="16">
        <v>3</v>
      </c>
      <c r="E207" s="16">
        <v>10</v>
      </c>
      <c r="F207" s="96">
        <f t="shared" si="39"/>
        <v>0.3</v>
      </c>
      <c r="G207" s="16">
        <v>0</v>
      </c>
      <c r="H207" s="16">
        <v>4</v>
      </c>
      <c r="I207" s="96">
        <f t="shared" si="40"/>
        <v>0</v>
      </c>
      <c r="J207" s="16">
        <v>4</v>
      </c>
      <c r="K207" s="16">
        <v>5</v>
      </c>
      <c r="L207" s="96">
        <f t="shared" si="41"/>
        <v>0.8</v>
      </c>
      <c r="M207" s="16">
        <v>4</v>
      </c>
      <c r="N207" s="16">
        <v>3</v>
      </c>
      <c r="O207" s="16">
        <v>4</v>
      </c>
      <c r="P207" s="16">
        <v>1</v>
      </c>
      <c r="Q207" s="16">
        <v>0</v>
      </c>
      <c r="R207" s="16">
        <v>10</v>
      </c>
    </row>
    <row r="208" spans="1:18" x14ac:dyDescent="0.25">
      <c r="A208" s="21">
        <v>42239</v>
      </c>
      <c r="B208" s="20"/>
      <c r="C208" s="15" t="s">
        <v>43</v>
      </c>
      <c r="D208" s="16">
        <v>2</v>
      </c>
      <c r="E208" s="16">
        <v>4</v>
      </c>
      <c r="F208" s="96">
        <f t="shared" si="39"/>
        <v>0.5</v>
      </c>
      <c r="G208" s="16">
        <v>1</v>
      </c>
      <c r="H208" s="16">
        <v>2</v>
      </c>
      <c r="I208" s="96">
        <f t="shared" si="40"/>
        <v>0.5</v>
      </c>
      <c r="J208" s="16">
        <v>0</v>
      </c>
      <c r="K208" s="16">
        <v>0</v>
      </c>
      <c r="L208" s="96">
        <f t="shared" si="41"/>
        <v>0</v>
      </c>
      <c r="M208" s="16">
        <v>3</v>
      </c>
      <c r="N208" s="16">
        <v>2</v>
      </c>
      <c r="O208" s="16">
        <v>0</v>
      </c>
      <c r="P208" s="16">
        <v>1</v>
      </c>
      <c r="Q208" s="16">
        <v>0</v>
      </c>
      <c r="R208" s="16">
        <v>5</v>
      </c>
    </row>
    <row r="209" spans="1:18" x14ac:dyDescent="0.25">
      <c r="A209" s="71">
        <v>42241</v>
      </c>
      <c r="B209" s="20"/>
      <c r="C209" s="15" t="s">
        <v>55</v>
      </c>
      <c r="D209" s="16">
        <v>1</v>
      </c>
      <c r="E209" s="16">
        <v>7</v>
      </c>
      <c r="F209" s="98">
        <f t="shared" ref="F209:F226" si="42">IF(E209=0,0,D209/E209)</f>
        <v>0.14285714285714285</v>
      </c>
      <c r="G209" s="16">
        <v>0</v>
      </c>
      <c r="H209" s="16">
        <v>3</v>
      </c>
      <c r="I209" s="98">
        <f t="shared" ref="I209:I226" si="43">IF(H209=0,0,G209/H209)</f>
        <v>0</v>
      </c>
      <c r="J209" s="16">
        <v>1</v>
      </c>
      <c r="K209" s="16">
        <v>1</v>
      </c>
      <c r="L209" s="98">
        <f t="shared" ref="L209:L226" si="44">IF(K209=0,0,J209/K209)</f>
        <v>1</v>
      </c>
      <c r="M209" s="16">
        <v>1</v>
      </c>
      <c r="N209" s="16">
        <v>1</v>
      </c>
      <c r="O209" s="16">
        <v>2</v>
      </c>
      <c r="P209" s="16">
        <v>2</v>
      </c>
      <c r="Q209" s="16">
        <v>1</v>
      </c>
      <c r="R209" s="16">
        <v>3</v>
      </c>
    </row>
    <row r="210" spans="1:18" x14ac:dyDescent="0.25">
      <c r="A210" s="71">
        <v>42242</v>
      </c>
      <c r="B210" s="20"/>
      <c r="C210" s="15" t="s">
        <v>117</v>
      </c>
      <c r="D210" s="16">
        <v>1</v>
      </c>
      <c r="E210" s="16">
        <v>8</v>
      </c>
      <c r="F210" s="98">
        <f t="shared" si="42"/>
        <v>0.125</v>
      </c>
      <c r="G210" s="16">
        <v>0</v>
      </c>
      <c r="H210" s="16">
        <v>5</v>
      </c>
      <c r="I210" s="98">
        <f t="shared" si="43"/>
        <v>0</v>
      </c>
      <c r="J210" s="16">
        <v>0</v>
      </c>
      <c r="K210" s="16">
        <v>0</v>
      </c>
      <c r="L210" s="98">
        <f t="shared" si="44"/>
        <v>0</v>
      </c>
      <c r="M210" s="16">
        <v>3</v>
      </c>
      <c r="N210" s="16">
        <v>5</v>
      </c>
      <c r="O210" s="16">
        <v>1</v>
      </c>
      <c r="P210" s="16">
        <v>0</v>
      </c>
      <c r="Q210" s="16">
        <v>0</v>
      </c>
      <c r="R210" s="16">
        <v>2</v>
      </c>
    </row>
    <row r="211" spans="1:18" x14ac:dyDescent="0.25">
      <c r="A211" s="71">
        <v>42242</v>
      </c>
      <c r="B211" s="20"/>
      <c r="C211" s="15" t="s">
        <v>43</v>
      </c>
      <c r="D211" s="16">
        <v>3</v>
      </c>
      <c r="E211" s="16">
        <v>10</v>
      </c>
      <c r="F211" s="98">
        <f t="shared" si="42"/>
        <v>0.3</v>
      </c>
      <c r="G211" s="16">
        <v>1</v>
      </c>
      <c r="H211" s="16">
        <v>5</v>
      </c>
      <c r="I211" s="98">
        <f t="shared" si="43"/>
        <v>0.2</v>
      </c>
      <c r="J211" s="16">
        <v>2</v>
      </c>
      <c r="K211" s="16">
        <v>4</v>
      </c>
      <c r="L211" s="98">
        <f t="shared" si="44"/>
        <v>0.5</v>
      </c>
      <c r="M211" s="16">
        <v>5</v>
      </c>
      <c r="N211" s="16">
        <v>0</v>
      </c>
      <c r="O211" s="16">
        <v>1</v>
      </c>
      <c r="P211" s="16">
        <v>3</v>
      </c>
      <c r="Q211" s="16">
        <v>1</v>
      </c>
      <c r="R211" s="16">
        <v>9</v>
      </c>
    </row>
    <row r="212" spans="1:18" x14ac:dyDescent="0.25">
      <c r="A212" s="71">
        <v>42243</v>
      </c>
      <c r="B212" s="20"/>
      <c r="C212" s="15" t="s">
        <v>45</v>
      </c>
      <c r="D212" s="16">
        <v>4</v>
      </c>
      <c r="E212" s="16">
        <v>8</v>
      </c>
      <c r="F212" s="98">
        <f t="shared" si="42"/>
        <v>0.5</v>
      </c>
      <c r="G212" s="16">
        <v>1</v>
      </c>
      <c r="H212" s="16">
        <v>4</v>
      </c>
      <c r="I212" s="98">
        <f t="shared" si="43"/>
        <v>0.25</v>
      </c>
      <c r="J212" s="16">
        <v>4</v>
      </c>
      <c r="K212" s="16">
        <v>4</v>
      </c>
      <c r="L212" s="98">
        <f t="shared" si="44"/>
        <v>1</v>
      </c>
      <c r="M212" s="16">
        <v>2</v>
      </c>
      <c r="N212" s="16">
        <v>2</v>
      </c>
      <c r="O212" s="16">
        <v>1</v>
      </c>
      <c r="P212" s="16">
        <v>2</v>
      </c>
      <c r="Q212" s="16">
        <v>0</v>
      </c>
      <c r="R212" s="16">
        <v>13</v>
      </c>
    </row>
    <row r="213" spans="1:18" x14ac:dyDescent="0.25">
      <c r="A213" s="71">
        <v>42243</v>
      </c>
      <c r="B213" s="20"/>
      <c r="C213" s="15" t="s">
        <v>55</v>
      </c>
      <c r="D213" s="16">
        <v>7</v>
      </c>
      <c r="E213" s="16">
        <v>12</v>
      </c>
      <c r="F213" s="98">
        <f t="shared" si="42"/>
        <v>0.58333333333333337</v>
      </c>
      <c r="G213" s="16">
        <v>2</v>
      </c>
      <c r="H213" s="16">
        <v>4</v>
      </c>
      <c r="I213" s="98">
        <f t="shared" si="43"/>
        <v>0.5</v>
      </c>
      <c r="J213" s="16">
        <v>0</v>
      </c>
      <c r="K213" s="16">
        <v>0</v>
      </c>
      <c r="L213" s="98">
        <f t="shared" si="44"/>
        <v>0</v>
      </c>
      <c r="M213" s="16">
        <v>4</v>
      </c>
      <c r="N213" s="16">
        <v>5</v>
      </c>
      <c r="O213" s="16">
        <v>3</v>
      </c>
      <c r="P213" s="16">
        <v>3</v>
      </c>
      <c r="Q213" s="16">
        <v>0</v>
      </c>
      <c r="R213" s="16">
        <v>16</v>
      </c>
    </row>
    <row r="214" spans="1:18" x14ac:dyDescent="0.25">
      <c r="A214" s="71">
        <v>42244</v>
      </c>
      <c r="B214" s="20"/>
      <c r="C214" s="15" t="s">
        <v>45</v>
      </c>
      <c r="D214" s="16">
        <v>1</v>
      </c>
      <c r="E214" s="16">
        <v>4</v>
      </c>
      <c r="F214" s="98">
        <f t="shared" si="42"/>
        <v>0.25</v>
      </c>
      <c r="G214" s="16">
        <v>1</v>
      </c>
      <c r="H214" s="16">
        <v>2</v>
      </c>
      <c r="I214" s="98">
        <f t="shared" si="43"/>
        <v>0.5</v>
      </c>
      <c r="J214" s="16">
        <v>0</v>
      </c>
      <c r="K214" s="16">
        <v>0</v>
      </c>
      <c r="L214" s="98">
        <f t="shared" si="44"/>
        <v>0</v>
      </c>
      <c r="M214" s="16">
        <v>2</v>
      </c>
      <c r="N214" s="16">
        <v>0</v>
      </c>
      <c r="O214" s="16">
        <v>1</v>
      </c>
      <c r="P214" s="16">
        <v>4</v>
      </c>
      <c r="Q214" s="16">
        <v>1</v>
      </c>
      <c r="R214" s="16">
        <v>3</v>
      </c>
    </row>
    <row r="215" spans="1:18" x14ac:dyDescent="0.25">
      <c r="A215" s="71">
        <v>42244</v>
      </c>
      <c r="B215" s="20"/>
      <c r="C215" s="15" t="s">
        <v>40</v>
      </c>
      <c r="D215" s="16">
        <v>4</v>
      </c>
      <c r="E215" s="16">
        <v>7</v>
      </c>
      <c r="F215" s="98">
        <f t="shared" si="42"/>
        <v>0.5714285714285714</v>
      </c>
      <c r="G215" s="16">
        <v>2</v>
      </c>
      <c r="H215" s="16">
        <v>3</v>
      </c>
      <c r="I215" s="98">
        <f t="shared" si="43"/>
        <v>0.66666666666666663</v>
      </c>
      <c r="J215" s="16">
        <v>0</v>
      </c>
      <c r="K215" s="16">
        <v>0</v>
      </c>
      <c r="L215" s="98">
        <f t="shared" si="44"/>
        <v>0</v>
      </c>
      <c r="M215" s="16">
        <v>3</v>
      </c>
      <c r="N215" s="16">
        <v>2</v>
      </c>
      <c r="O215" s="16">
        <v>1</v>
      </c>
      <c r="P215" s="16">
        <v>1</v>
      </c>
      <c r="Q215" s="16">
        <v>2</v>
      </c>
      <c r="R215" s="16">
        <v>10</v>
      </c>
    </row>
    <row r="216" spans="1:18" x14ac:dyDescent="0.25">
      <c r="A216" s="71">
        <v>42244</v>
      </c>
      <c r="B216" s="20"/>
      <c r="C216" s="15" t="s">
        <v>42</v>
      </c>
      <c r="D216" s="16">
        <v>6</v>
      </c>
      <c r="E216" s="16">
        <v>11</v>
      </c>
      <c r="F216" s="98">
        <f t="shared" si="42"/>
        <v>0.54545454545454541</v>
      </c>
      <c r="G216" s="16">
        <v>0</v>
      </c>
      <c r="H216" s="16">
        <v>0</v>
      </c>
      <c r="I216" s="98">
        <f t="shared" si="43"/>
        <v>0</v>
      </c>
      <c r="J216" s="16">
        <v>0</v>
      </c>
      <c r="K216" s="16">
        <v>0</v>
      </c>
      <c r="L216" s="98">
        <f t="shared" si="44"/>
        <v>0</v>
      </c>
      <c r="M216" s="16">
        <v>13</v>
      </c>
      <c r="N216" s="16">
        <v>3</v>
      </c>
      <c r="O216" s="16">
        <v>0</v>
      </c>
      <c r="P216" s="16">
        <v>1</v>
      </c>
      <c r="Q216" s="16">
        <v>0</v>
      </c>
      <c r="R216" s="16">
        <v>12</v>
      </c>
    </row>
    <row r="217" spans="1:18" x14ac:dyDescent="0.25">
      <c r="A217" s="71">
        <v>42244</v>
      </c>
      <c r="B217" s="20"/>
      <c r="C217" s="15" t="s">
        <v>41</v>
      </c>
      <c r="D217" s="16">
        <v>4</v>
      </c>
      <c r="E217" s="16">
        <v>10</v>
      </c>
      <c r="F217" s="98">
        <f t="shared" si="42"/>
        <v>0.4</v>
      </c>
      <c r="G217" s="16">
        <v>0</v>
      </c>
      <c r="H217" s="16">
        <v>4</v>
      </c>
      <c r="I217" s="98">
        <f t="shared" si="43"/>
        <v>0</v>
      </c>
      <c r="J217" s="16">
        <v>7</v>
      </c>
      <c r="K217" s="16">
        <v>10</v>
      </c>
      <c r="L217" s="98">
        <f t="shared" si="44"/>
        <v>0.7</v>
      </c>
      <c r="M217" s="16">
        <v>2</v>
      </c>
      <c r="N217" s="16">
        <v>4</v>
      </c>
      <c r="O217" s="16">
        <v>3</v>
      </c>
      <c r="P217" s="16">
        <v>4</v>
      </c>
      <c r="Q217" s="16">
        <v>0</v>
      </c>
      <c r="R217" s="16">
        <v>15</v>
      </c>
    </row>
    <row r="218" spans="1:18" x14ac:dyDescent="0.25">
      <c r="A218" s="71">
        <v>42244</v>
      </c>
      <c r="B218" s="20"/>
      <c r="C218" s="15" t="s">
        <v>44</v>
      </c>
      <c r="D218" s="16">
        <v>1</v>
      </c>
      <c r="E218" s="16">
        <v>5</v>
      </c>
      <c r="F218" s="98">
        <f t="shared" si="42"/>
        <v>0.2</v>
      </c>
      <c r="G218" s="16">
        <v>0</v>
      </c>
      <c r="H218" s="16">
        <v>0</v>
      </c>
      <c r="I218" s="98">
        <f t="shared" si="43"/>
        <v>0</v>
      </c>
      <c r="J218" s="16">
        <v>1</v>
      </c>
      <c r="K218" s="16">
        <v>2</v>
      </c>
      <c r="L218" s="98">
        <f t="shared" si="44"/>
        <v>0.5</v>
      </c>
      <c r="M218" s="16">
        <v>2</v>
      </c>
      <c r="N218" s="16">
        <v>0</v>
      </c>
      <c r="O218" s="16">
        <v>0</v>
      </c>
      <c r="P218" s="16">
        <v>3</v>
      </c>
      <c r="Q218" s="16">
        <v>0</v>
      </c>
      <c r="R218" s="16">
        <v>3</v>
      </c>
    </row>
    <row r="219" spans="1:18" x14ac:dyDescent="0.25">
      <c r="A219" s="71">
        <v>42244</v>
      </c>
      <c r="B219" s="20"/>
      <c r="C219" s="15" t="s">
        <v>43</v>
      </c>
      <c r="D219" s="16">
        <v>2</v>
      </c>
      <c r="E219" s="16">
        <v>7</v>
      </c>
      <c r="F219" s="98">
        <f t="shared" si="42"/>
        <v>0.2857142857142857</v>
      </c>
      <c r="G219" s="16">
        <v>0</v>
      </c>
      <c r="H219" s="16">
        <v>2</v>
      </c>
      <c r="I219" s="98">
        <f t="shared" si="43"/>
        <v>0</v>
      </c>
      <c r="J219" s="16">
        <v>0</v>
      </c>
      <c r="K219" s="16">
        <v>0</v>
      </c>
      <c r="L219" s="98">
        <f t="shared" si="44"/>
        <v>0</v>
      </c>
      <c r="M219" s="16">
        <v>2</v>
      </c>
      <c r="N219" s="16">
        <v>0</v>
      </c>
      <c r="O219" s="16">
        <v>1</v>
      </c>
      <c r="P219" s="16">
        <v>0</v>
      </c>
      <c r="Q219" s="16">
        <v>0</v>
      </c>
      <c r="R219" s="16">
        <v>4</v>
      </c>
    </row>
    <row r="220" spans="1:18" x14ac:dyDescent="0.25">
      <c r="A220" s="14">
        <v>42245</v>
      </c>
      <c r="B220" s="15"/>
      <c r="C220" s="15" t="s">
        <v>55</v>
      </c>
      <c r="D220" s="16">
        <v>3</v>
      </c>
      <c r="E220" s="16">
        <v>7</v>
      </c>
      <c r="F220" s="98">
        <f t="shared" si="42"/>
        <v>0.42857142857142855</v>
      </c>
      <c r="G220" s="16">
        <v>1</v>
      </c>
      <c r="H220" s="16">
        <v>4</v>
      </c>
      <c r="I220" s="98">
        <f t="shared" si="43"/>
        <v>0.25</v>
      </c>
      <c r="J220" s="16">
        <v>2</v>
      </c>
      <c r="K220" s="16">
        <v>2</v>
      </c>
      <c r="L220" s="98">
        <f t="shared" si="44"/>
        <v>1</v>
      </c>
      <c r="M220" s="16">
        <v>3</v>
      </c>
      <c r="N220" s="16">
        <v>3</v>
      </c>
      <c r="O220" s="16">
        <v>2</v>
      </c>
      <c r="P220" s="16">
        <v>2</v>
      </c>
      <c r="Q220" s="16">
        <v>0</v>
      </c>
      <c r="R220" s="16">
        <v>9</v>
      </c>
    </row>
    <row r="221" spans="1:18" x14ac:dyDescent="0.25">
      <c r="A221" s="71">
        <v>42246</v>
      </c>
      <c r="B221" s="20"/>
      <c r="C221" s="15" t="s">
        <v>45</v>
      </c>
      <c r="D221" s="16">
        <v>3</v>
      </c>
      <c r="E221" s="16">
        <v>4</v>
      </c>
      <c r="F221" s="98">
        <f t="shared" si="42"/>
        <v>0.75</v>
      </c>
      <c r="G221" s="16">
        <v>0</v>
      </c>
      <c r="H221" s="16">
        <v>0</v>
      </c>
      <c r="I221" s="98">
        <f t="shared" si="43"/>
        <v>0</v>
      </c>
      <c r="J221" s="16">
        <v>1</v>
      </c>
      <c r="K221" s="16">
        <v>2</v>
      </c>
      <c r="L221" s="98">
        <f t="shared" si="44"/>
        <v>0.5</v>
      </c>
      <c r="M221" s="16">
        <v>1</v>
      </c>
      <c r="N221" s="16">
        <v>0</v>
      </c>
      <c r="O221" s="16">
        <v>1</v>
      </c>
      <c r="P221" s="16">
        <v>1</v>
      </c>
      <c r="Q221" s="16">
        <v>1</v>
      </c>
      <c r="R221" s="16">
        <v>7</v>
      </c>
    </row>
    <row r="222" spans="1:18" x14ac:dyDescent="0.25">
      <c r="A222" s="71">
        <v>42246</v>
      </c>
      <c r="B222" s="20"/>
      <c r="C222" s="15" t="s">
        <v>44</v>
      </c>
      <c r="D222" s="16">
        <v>1</v>
      </c>
      <c r="E222" s="16">
        <v>6</v>
      </c>
      <c r="F222" s="98">
        <f t="shared" si="42"/>
        <v>0.16666666666666666</v>
      </c>
      <c r="G222" s="16">
        <v>0</v>
      </c>
      <c r="H222" s="16">
        <v>0</v>
      </c>
      <c r="I222" s="98">
        <f t="shared" si="43"/>
        <v>0</v>
      </c>
      <c r="J222" s="16">
        <v>0</v>
      </c>
      <c r="K222" s="16">
        <v>0</v>
      </c>
      <c r="L222" s="98">
        <f t="shared" si="44"/>
        <v>0</v>
      </c>
      <c r="M222" s="16">
        <v>2</v>
      </c>
      <c r="N222" s="16">
        <v>5</v>
      </c>
      <c r="O222" s="16">
        <v>2</v>
      </c>
      <c r="P222" s="16">
        <v>1</v>
      </c>
      <c r="Q222" s="16">
        <v>0</v>
      </c>
      <c r="R222" s="16">
        <v>2</v>
      </c>
    </row>
    <row r="223" spans="1:18" x14ac:dyDescent="0.25">
      <c r="A223" s="71">
        <v>42246</v>
      </c>
      <c r="B223" s="20"/>
      <c r="C223" s="15" t="s">
        <v>55</v>
      </c>
      <c r="D223" s="16">
        <v>0</v>
      </c>
      <c r="E223" s="16">
        <v>7</v>
      </c>
      <c r="F223" s="98">
        <f t="shared" si="42"/>
        <v>0</v>
      </c>
      <c r="G223" s="16">
        <v>0</v>
      </c>
      <c r="H223" s="16">
        <v>5</v>
      </c>
      <c r="I223" s="98">
        <f t="shared" si="43"/>
        <v>0</v>
      </c>
      <c r="J223" s="16">
        <v>0</v>
      </c>
      <c r="K223" s="16">
        <v>0</v>
      </c>
      <c r="L223" s="98">
        <f t="shared" si="44"/>
        <v>0</v>
      </c>
      <c r="M223" s="16">
        <v>2</v>
      </c>
      <c r="N223" s="16">
        <v>2</v>
      </c>
      <c r="O223" s="16">
        <v>1</v>
      </c>
      <c r="P223" s="16">
        <v>2</v>
      </c>
      <c r="Q223" s="16">
        <v>0</v>
      </c>
      <c r="R223" s="16">
        <v>0</v>
      </c>
    </row>
    <row r="224" spans="1:18" x14ac:dyDescent="0.25">
      <c r="A224" s="71">
        <v>42246</v>
      </c>
      <c r="B224" s="20"/>
      <c r="C224" s="15" t="s">
        <v>42</v>
      </c>
      <c r="D224" s="16">
        <v>1</v>
      </c>
      <c r="E224" s="16">
        <v>2</v>
      </c>
      <c r="F224" s="98">
        <f t="shared" si="42"/>
        <v>0.5</v>
      </c>
      <c r="G224" s="16">
        <v>0</v>
      </c>
      <c r="H224" s="16">
        <v>0</v>
      </c>
      <c r="I224" s="98">
        <f t="shared" si="43"/>
        <v>0</v>
      </c>
      <c r="J224" s="16">
        <v>0</v>
      </c>
      <c r="K224" s="16">
        <v>0</v>
      </c>
      <c r="L224" s="98">
        <f t="shared" si="44"/>
        <v>0</v>
      </c>
      <c r="M224" s="16">
        <v>6</v>
      </c>
      <c r="N224" s="16">
        <v>1</v>
      </c>
      <c r="O224" s="16">
        <v>0</v>
      </c>
      <c r="P224" s="16">
        <v>1</v>
      </c>
      <c r="Q224" s="16">
        <v>2</v>
      </c>
      <c r="R224" s="16">
        <v>2</v>
      </c>
    </row>
    <row r="225" spans="1:18" x14ac:dyDescent="0.25">
      <c r="A225" s="71">
        <v>42246</v>
      </c>
      <c r="B225" s="20"/>
      <c r="C225" s="15" t="s">
        <v>41</v>
      </c>
      <c r="D225" s="16">
        <v>8</v>
      </c>
      <c r="E225" s="16">
        <v>15</v>
      </c>
      <c r="F225" s="98">
        <f t="shared" si="42"/>
        <v>0.53333333333333333</v>
      </c>
      <c r="G225" s="16">
        <v>2</v>
      </c>
      <c r="H225" s="16">
        <v>4</v>
      </c>
      <c r="I225" s="98">
        <f t="shared" si="43"/>
        <v>0.5</v>
      </c>
      <c r="J225" s="16">
        <v>12</v>
      </c>
      <c r="K225" s="16">
        <v>12</v>
      </c>
      <c r="L225" s="98">
        <f t="shared" si="44"/>
        <v>1</v>
      </c>
      <c r="M225" s="16">
        <v>1</v>
      </c>
      <c r="N225" s="16">
        <v>5</v>
      </c>
      <c r="O225" s="16">
        <v>0</v>
      </c>
      <c r="P225" s="16">
        <v>6</v>
      </c>
      <c r="Q225" s="16">
        <v>0</v>
      </c>
      <c r="R225" s="16">
        <v>30</v>
      </c>
    </row>
    <row r="226" spans="1:18" x14ac:dyDescent="0.25">
      <c r="A226" s="71">
        <v>42246</v>
      </c>
      <c r="B226" s="20"/>
      <c r="C226" s="15" t="s">
        <v>43</v>
      </c>
      <c r="D226" s="16">
        <v>2</v>
      </c>
      <c r="E226" s="16">
        <v>12</v>
      </c>
      <c r="F226" s="98">
        <f t="shared" si="42"/>
        <v>0.16666666666666666</v>
      </c>
      <c r="G226" s="16">
        <v>0</v>
      </c>
      <c r="H226" s="16">
        <v>1</v>
      </c>
      <c r="I226" s="98">
        <f t="shared" si="43"/>
        <v>0</v>
      </c>
      <c r="J226" s="16">
        <v>0</v>
      </c>
      <c r="K226" s="16">
        <v>0</v>
      </c>
      <c r="L226" s="98">
        <f t="shared" si="44"/>
        <v>0</v>
      </c>
      <c r="M226" s="16">
        <v>2</v>
      </c>
      <c r="N226" s="16">
        <v>0</v>
      </c>
      <c r="O226" s="16">
        <v>1</v>
      </c>
      <c r="P226" s="16">
        <v>0</v>
      </c>
      <c r="Q226" s="16">
        <v>1</v>
      </c>
      <c r="R226" s="16">
        <v>4</v>
      </c>
    </row>
    <row r="227" spans="1:18" x14ac:dyDescent="0.25">
      <c r="A227" s="71">
        <v>42248</v>
      </c>
      <c r="B227" s="20"/>
      <c r="C227" s="15" t="s">
        <v>55</v>
      </c>
      <c r="D227" s="16">
        <v>2</v>
      </c>
      <c r="E227" s="16">
        <v>6</v>
      </c>
      <c r="F227" s="100">
        <f t="shared" ref="F227:F234" si="45">IF(E227=0,0,D227/E227)</f>
        <v>0.33333333333333331</v>
      </c>
      <c r="G227" s="16">
        <v>1</v>
      </c>
      <c r="H227" s="16">
        <v>2</v>
      </c>
      <c r="I227" s="100">
        <f t="shared" ref="I227:I234" si="46">IF(H227=0,0,G227/H227)</f>
        <v>0.5</v>
      </c>
      <c r="J227" s="16">
        <v>0</v>
      </c>
      <c r="K227" s="16">
        <v>0</v>
      </c>
      <c r="L227" s="100">
        <f t="shared" ref="L227:L234" si="47">IF(K227=0,0,J227/K227)</f>
        <v>0</v>
      </c>
      <c r="M227" s="16">
        <v>3</v>
      </c>
      <c r="N227" s="16">
        <v>2</v>
      </c>
      <c r="O227" s="16">
        <v>1</v>
      </c>
      <c r="P227" s="16">
        <v>1</v>
      </c>
      <c r="Q227" s="16">
        <v>0</v>
      </c>
      <c r="R227" s="16">
        <v>5</v>
      </c>
    </row>
    <row r="228" spans="1:18" x14ac:dyDescent="0.25">
      <c r="A228" s="71">
        <v>42248</v>
      </c>
      <c r="B228" s="20"/>
      <c r="C228" s="15" t="s">
        <v>43</v>
      </c>
      <c r="D228" s="16">
        <v>3</v>
      </c>
      <c r="E228" s="16">
        <v>6</v>
      </c>
      <c r="F228" s="100">
        <f t="shared" si="45"/>
        <v>0.5</v>
      </c>
      <c r="G228" s="16">
        <v>1</v>
      </c>
      <c r="H228" s="16">
        <v>2</v>
      </c>
      <c r="I228" s="100">
        <f t="shared" si="46"/>
        <v>0.5</v>
      </c>
      <c r="J228" s="16">
        <v>1</v>
      </c>
      <c r="K228" s="16">
        <v>1</v>
      </c>
      <c r="L228" s="100">
        <f t="shared" si="47"/>
        <v>1</v>
      </c>
      <c r="M228" s="16">
        <v>4</v>
      </c>
      <c r="N228" s="16">
        <v>1</v>
      </c>
      <c r="O228" s="16">
        <v>1</v>
      </c>
      <c r="P228" s="16">
        <v>2</v>
      </c>
      <c r="Q228" s="16">
        <v>0</v>
      </c>
      <c r="R228" s="16">
        <v>8</v>
      </c>
    </row>
    <row r="229" spans="1:18" x14ac:dyDescent="0.25">
      <c r="A229" s="71">
        <v>42249</v>
      </c>
      <c r="B229" s="20"/>
      <c r="C229" s="15" t="s">
        <v>45</v>
      </c>
      <c r="D229" s="16">
        <v>0</v>
      </c>
      <c r="E229" s="16">
        <v>2</v>
      </c>
      <c r="F229" s="100">
        <f t="shared" si="45"/>
        <v>0</v>
      </c>
      <c r="G229" s="16">
        <v>0</v>
      </c>
      <c r="H229" s="16">
        <v>1</v>
      </c>
      <c r="I229" s="100">
        <f t="shared" si="46"/>
        <v>0</v>
      </c>
      <c r="J229" s="16">
        <v>0</v>
      </c>
      <c r="K229" s="16">
        <v>0</v>
      </c>
      <c r="L229" s="100">
        <f t="shared" si="47"/>
        <v>0</v>
      </c>
      <c r="M229" s="16">
        <v>1</v>
      </c>
      <c r="N229" s="16">
        <v>3</v>
      </c>
      <c r="O229" s="16">
        <v>1</v>
      </c>
      <c r="P229" s="16">
        <v>1</v>
      </c>
      <c r="Q229" s="16">
        <v>1</v>
      </c>
      <c r="R229" s="16">
        <v>0</v>
      </c>
    </row>
    <row r="230" spans="1:18" x14ac:dyDescent="0.25">
      <c r="A230" s="71">
        <v>42250</v>
      </c>
      <c r="B230" s="20"/>
      <c r="C230" s="15" t="s">
        <v>42</v>
      </c>
      <c r="D230" s="16">
        <v>1</v>
      </c>
      <c r="E230" s="16">
        <v>2</v>
      </c>
      <c r="F230" s="100">
        <f t="shared" si="45"/>
        <v>0.5</v>
      </c>
      <c r="G230" s="16">
        <v>0</v>
      </c>
      <c r="H230" s="16">
        <v>0</v>
      </c>
      <c r="I230" s="100">
        <f t="shared" si="46"/>
        <v>0</v>
      </c>
      <c r="J230" s="16">
        <v>0</v>
      </c>
      <c r="K230" s="16">
        <v>0</v>
      </c>
      <c r="L230" s="100">
        <f t="shared" si="47"/>
        <v>0</v>
      </c>
      <c r="M230" s="16">
        <v>8</v>
      </c>
      <c r="N230" s="16">
        <v>1</v>
      </c>
      <c r="O230" s="16">
        <v>0</v>
      </c>
      <c r="P230" s="16">
        <v>0</v>
      </c>
      <c r="Q230" s="16">
        <v>1</v>
      </c>
      <c r="R230" s="16">
        <v>2</v>
      </c>
    </row>
    <row r="231" spans="1:18" x14ac:dyDescent="0.25">
      <c r="A231" s="71">
        <v>42250</v>
      </c>
      <c r="B231" s="20"/>
      <c r="C231" s="15" t="s">
        <v>41</v>
      </c>
      <c r="D231" s="16">
        <v>8</v>
      </c>
      <c r="E231" s="16">
        <v>17</v>
      </c>
      <c r="F231" s="100">
        <f t="shared" si="45"/>
        <v>0.47058823529411764</v>
      </c>
      <c r="G231" s="16">
        <v>2</v>
      </c>
      <c r="H231" s="16">
        <v>6</v>
      </c>
      <c r="I231" s="100">
        <f t="shared" si="46"/>
        <v>0.33333333333333331</v>
      </c>
      <c r="J231" s="16">
        <v>6</v>
      </c>
      <c r="K231" s="16">
        <v>8</v>
      </c>
      <c r="L231" s="100">
        <f t="shared" si="47"/>
        <v>0.75</v>
      </c>
      <c r="M231" s="16">
        <v>1</v>
      </c>
      <c r="N231" s="16">
        <v>4</v>
      </c>
      <c r="O231" s="16">
        <v>1</v>
      </c>
      <c r="P231" s="16">
        <v>1</v>
      </c>
      <c r="Q231" s="16">
        <v>0</v>
      </c>
      <c r="R231" s="16">
        <v>24</v>
      </c>
    </row>
    <row r="232" spans="1:18" x14ac:dyDescent="0.25">
      <c r="A232" s="71">
        <v>42251</v>
      </c>
      <c r="B232" s="20"/>
      <c r="C232" s="15" t="s">
        <v>43</v>
      </c>
      <c r="D232" s="16">
        <v>6</v>
      </c>
      <c r="E232" s="16">
        <v>11</v>
      </c>
      <c r="F232" s="100">
        <f t="shared" si="45"/>
        <v>0.54545454545454541</v>
      </c>
      <c r="G232" s="16">
        <v>2</v>
      </c>
      <c r="H232" s="16">
        <v>5</v>
      </c>
      <c r="I232" s="100">
        <f t="shared" si="46"/>
        <v>0.4</v>
      </c>
      <c r="J232" s="16">
        <v>2</v>
      </c>
      <c r="K232" s="16">
        <v>2</v>
      </c>
      <c r="L232" s="100">
        <f t="shared" si="47"/>
        <v>1</v>
      </c>
      <c r="M232" s="16">
        <v>2</v>
      </c>
      <c r="N232" s="16">
        <v>1</v>
      </c>
      <c r="O232" s="16">
        <v>1</v>
      </c>
      <c r="P232" s="16">
        <v>1</v>
      </c>
      <c r="Q232" s="16">
        <v>0</v>
      </c>
      <c r="R232" s="16">
        <v>16</v>
      </c>
    </row>
    <row r="233" spans="1:18" x14ac:dyDescent="0.25">
      <c r="A233" s="71">
        <v>42251</v>
      </c>
      <c r="B233" s="20"/>
      <c r="C233" s="15" t="s">
        <v>55</v>
      </c>
      <c r="D233" s="16">
        <v>5</v>
      </c>
      <c r="E233" s="16">
        <v>10</v>
      </c>
      <c r="F233" s="100">
        <f t="shared" si="45"/>
        <v>0.5</v>
      </c>
      <c r="G233" s="16">
        <v>1</v>
      </c>
      <c r="H233" s="16">
        <v>4</v>
      </c>
      <c r="I233" s="100">
        <f t="shared" si="46"/>
        <v>0.25</v>
      </c>
      <c r="J233" s="16">
        <v>0</v>
      </c>
      <c r="K233" s="16">
        <v>0</v>
      </c>
      <c r="L233" s="100">
        <f t="shared" si="47"/>
        <v>0</v>
      </c>
      <c r="M233" s="16">
        <v>4</v>
      </c>
      <c r="N233" s="16">
        <v>1</v>
      </c>
      <c r="O233" s="16">
        <v>2</v>
      </c>
      <c r="P233" s="16">
        <v>1</v>
      </c>
      <c r="Q233" s="16">
        <v>0</v>
      </c>
      <c r="R233" s="16">
        <v>11</v>
      </c>
    </row>
    <row r="234" spans="1:18" x14ac:dyDescent="0.25">
      <c r="A234" s="71">
        <v>42251</v>
      </c>
      <c r="B234" s="20"/>
      <c r="C234" s="15" t="s">
        <v>44</v>
      </c>
      <c r="D234" s="16">
        <v>2</v>
      </c>
      <c r="E234" s="16">
        <v>6</v>
      </c>
      <c r="F234" s="100">
        <f t="shared" si="45"/>
        <v>0.33333333333333331</v>
      </c>
      <c r="G234" s="16">
        <v>0</v>
      </c>
      <c r="H234" s="16">
        <v>0</v>
      </c>
      <c r="I234" s="100">
        <f t="shared" si="46"/>
        <v>0</v>
      </c>
      <c r="J234" s="16">
        <v>2</v>
      </c>
      <c r="K234" s="16">
        <v>2</v>
      </c>
      <c r="L234" s="100">
        <f t="shared" si="47"/>
        <v>1</v>
      </c>
      <c r="M234" s="16">
        <v>1</v>
      </c>
      <c r="N234" s="16">
        <v>3</v>
      </c>
      <c r="O234" s="16">
        <v>2</v>
      </c>
      <c r="P234" s="16">
        <v>0</v>
      </c>
      <c r="Q234" s="16">
        <v>0</v>
      </c>
      <c r="R234" s="16">
        <v>6</v>
      </c>
    </row>
    <row r="235" spans="1:18" x14ac:dyDescent="0.25">
      <c r="A235" s="71">
        <v>42253</v>
      </c>
      <c r="B235" s="20"/>
      <c r="C235" s="15" t="s">
        <v>42</v>
      </c>
      <c r="D235" s="16">
        <v>2</v>
      </c>
      <c r="E235" s="16">
        <v>7</v>
      </c>
      <c r="F235" s="101">
        <f t="shared" ref="F235:F245" si="48">IF(E235=0,0,D235/E235)</f>
        <v>0.2857142857142857</v>
      </c>
      <c r="G235" s="16">
        <v>0</v>
      </c>
      <c r="H235" s="16">
        <v>0</v>
      </c>
      <c r="I235" s="101">
        <f t="shared" ref="I235:I245" si="49">IF(H235=0,0,G235/H235)</f>
        <v>0</v>
      </c>
      <c r="J235" s="16">
        <v>0</v>
      </c>
      <c r="K235" s="16">
        <v>0</v>
      </c>
      <c r="L235" s="101">
        <f t="shared" ref="L235:L245" si="50">IF(K235=0,0,J235/K235)</f>
        <v>0</v>
      </c>
      <c r="M235" s="16">
        <v>6</v>
      </c>
      <c r="N235" s="16">
        <v>1</v>
      </c>
      <c r="O235" s="16">
        <v>1</v>
      </c>
      <c r="P235" s="16">
        <v>0</v>
      </c>
      <c r="Q235" s="16">
        <v>0</v>
      </c>
      <c r="R235" s="16">
        <v>4</v>
      </c>
    </row>
    <row r="236" spans="1:18" x14ac:dyDescent="0.25">
      <c r="A236" s="71">
        <v>42253</v>
      </c>
      <c r="B236" s="20"/>
      <c r="C236" s="15" t="s">
        <v>35</v>
      </c>
      <c r="D236" s="16">
        <v>1</v>
      </c>
      <c r="E236" s="16">
        <v>5</v>
      </c>
      <c r="F236" s="101">
        <f t="shared" si="48"/>
        <v>0.2</v>
      </c>
      <c r="G236" s="16">
        <v>1</v>
      </c>
      <c r="H236" s="16">
        <v>2</v>
      </c>
      <c r="I236" s="101">
        <f t="shared" si="49"/>
        <v>0.5</v>
      </c>
      <c r="J236" s="16">
        <v>5</v>
      </c>
      <c r="K236" s="16">
        <v>6</v>
      </c>
      <c r="L236" s="101">
        <f t="shared" si="50"/>
        <v>0.83333333333333337</v>
      </c>
      <c r="M236" s="16">
        <v>5</v>
      </c>
      <c r="N236" s="16">
        <v>0</v>
      </c>
      <c r="O236" s="16">
        <v>1</v>
      </c>
      <c r="P236" s="16">
        <v>1</v>
      </c>
      <c r="Q236" s="16">
        <v>0</v>
      </c>
      <c r="R236" s="16">
        <v>8</v>
      </c>
    </row>
    <row r="237" spans="1:18" x14ac:dyDescent="0.25">
      <c r="A237" s="71">
        <v>42253</v>
      </c>
      <c r="B237" s="20"/>
      <c r="C237" s="15" t="s">
        <v>41</v>
      </c>
      <c r="D237" s="16">
        <v>6</v>
      </c>
      <c r="E237" s="16">
        <v>18</v>
      </c>
      <c r="F237" s="101">
        <f t="shared" si="48"/>
        <v>0.33333333333333331</v>
      </c>
      <c r="G237" s="16">
        <v>1</v>
      </c>
      <c r="H237" s="16">
        <v>6</v>
      </c>
      <c r="I237" s="101">
        <f t="shared" si="49"/>
        <v>0.16666666666666666</v>
      </c>
      <c r="J237" s="16">
        <v>8</v>
      </c>
      <c r="K237" s="16">
        <v>9</v>
      </c>
      <c r="L237" s="101">
        <f t="shared" si="50"/>
        <v>0.88888888888888884</v>
      </c>
      <c r="M237" s="16">
        <v>3</v>
      </c>
      <c r="N237" s="16">
        <v>6</v>
      </c>
      <c r="O237" s="16">
        <v>1</v>
      </c>
      <c r="P237" s="16">
        <v>4</v>
      </c>
      <c r="Q237" s="16">
        <v>0</v>
      </c>
      <c r="R237" s="16">
        <v>21</v>
      </c>
    </row>
    <row r="238" spans="1:18" x14ac:dyDescent="0.25">
      <c r="A238" s="71">
        <v>42253</v>
      </c>
      <c r="B238" s="20"/>
      <c r="C238" s="15" t="s">
        <v>40</v>
      </c>
      <c r="D238" s="16">
        <v>1</v>
      </c>
      <c r="E238" s="16">
        <v>8</v>
      </c>
      <c r="F238" s="101">
        <f t="shared" si="48"/>
        <v>0.125</v>
      </c>
      <c r="G238" s="16">
        <v>0</v>
      </c>
      <c r="H238" s="16">
        <v>0</v>
      </c>
      <c r="I238" s="101">
        <f t="shared" si="49"/>
        <v>0</v>
      </c>
      <c r="J238" s="16">
        <v>0</v>
      </c>
      <c r="K238" s="16">
        <v>0</v>
      </c>
      <c r="L238" s="101">
        <f t="shared" si="50"/>
        <v>0</v>
      </c>
      <c r="M238" s="16">
        <v>4</v>
      </c>
      <c r="N238" s="16">
        <v>0</v>
      </c>
      <c r="O238" s="16">
        <v>0</v>
      </c>
      <c r="P238" s="16">
        <v>0</v>
      </c>
      <c r="Q238" s="16">
        <v>0</v>
      </c>
      <c r="R238" s="16">
        <v>2</v>
      </c>
    </row>
    <row r="239" spans="1:18" x14ac:dyDescent="0.25">
      <c r="A239" s="71">
        <v>42253</v>
      </c>
      <c r="B239" s="20"/>
      <c r="C239" s="15" t="s">
        <v>117</v>
      </c>
      <c r="D239" s="16">
        <v>1</v>
      </c>
      <c r="E239" s="16">
        <v>2</v>
      </c>
      <c r="F239" s="101">
        <f t="shared" si="48"/>
        <v>0.5</v>
      </c>
      <c r="G239" s="16">
        <v>0</v>
      </c>
      <c r="H239" s="16">
        <v>0</v>
      </c>
      <c r="I239" s="101">
        <f t="shared" si="49"/>
        <v>0</v>
      </c>
      <c r="J239" s="16">
        <v>0</v>
      </c>
      <c r="K239" s="16">
        <v>0</v>
      </c>
      <c r="L239" s="101">
        <f t="shared" si="50"/>
        <v>0</v>
      </c>
      <c r="M239" s="16">
        <v>1</v>
      </c>
      <c r="N239" s="16">
        <v>1</v>
      </c>
      <c r="O239" s="16">
        <v>0</v>
      </c>
      <c r="P239" s="16">
        <v>2</v>
      </c>
      <c r="Q239" s="16">
        <v>0</v>
      </c>
      <c r="R239" s="16">
        <v>2</v>
      </c>
    </row>
    <row r="240" spans="1:18" x14ac:dyDescent="0.25">
      <c r="A240" s="21">
        <v>42255</v>
      </c>
      <c r="B240" s="20"/>
      <c r="C240" s="15" t="s">
        <v>41</v>
      </c>
      <c r="D240" s="16">
        <v>11</v>
      </c>
      <c r="E240" s="16">
        <v>23</v>
      </c>
      <c r="F240" s="109">
        <f t="shared" si="48"/>
        <v>0.47826086956521741</v>
      </c>
      <c r="G240" s="16">
        <v>0</v>
      </c>
      <c r="H240" s="16">
        <v>4</v>
      </c>
      <c r="I240" s="109">
        <f t="shared" si="49"/>
        <v>0</v>
      </c>
      <c r="J240" s="16">
        <v>5</v>
      </c>
      <c r="K240" s="16">
        <v>7</v>
      </c>
      <c r="L240" s="109">
        <f t="shared" si="50"/>
        <v>0.7142857142857143</v>
      </c>
      <c r="M240" s="16">
        <v>7</v>
      </c>
      <c r="N240" s="16">
        <v>2</v>
      </c>
      <c r="O240" s="16">
        <v>0</v>
      </c>
      <c r="P240" s="16">
        <v>5</v>
      </c>
      <c r="Q240" s="16">
        <v>0</v>
      </c>
      <c r="R240" s="16">
        <v>27</v>
      </c>
    </row>
    <row r="241" spans="1:18" x14ac:dyDescent="0.25">
      <c r="A241" s="21">
        <v>42255</v>
      </c>
      <c r="B241" s="20"/>
      <c r="C241" s="15" t="s">
        <v>42</v>
      </c>
      <c r="D241" s="16">
        <v>0</v>
      </c>
      <c r="E241" s="16">
        <v>0</v>
      </c>
      <c r="F241" s="109">
        <f t="shared" si="48"/>
        <v>0</v>
      </c>
      <c r="G241" s="16">
        <v>0</v>
      </c>
      <c r="H241" s="16">
        <v>0</v>
      </c>
      <c r="I241" s="109">
        <f t="shared" si="49"/>
        <v>0</v>
      </c>
      <c r="J241" s="16">
        <v>1</v>
      </c>
      <c r="K241" s="16">
        <v>2</v>
      </c>
      <c r="L241" s="109">
        <f t="shared" si="50"/>
        <v>0.5</v>
      </c>
      <c r="M241" s="16">
        <v>7</v>
      </c>
      <c r="N241" s="16">
        <v>1</v>
      </c>
      <c r="O241" s="16">
        <v>0</v>
      </c>
      <c r="P241" s="16">
        <v>1</v>
      </c>
      <c r="Q241" s="16">
        <v>0</v>
      </c>
      <c r="R241" s="16">
        <v>1</v>
      </c>
    </row>
    <row r="242" spans="1:18" x14ac:dyDescent="0.25">
      <c r="A242" s="21">
        <v>42255</v>
      </c>
      <c r="B242" s="20"/>
      <c r="C242" s="15" t="s">
        <v>40</v>
      </c>
      <c r="D242" s="16">
        <v>1</v>
      </c>
      <c r="E242" s="16">
        <v>2</v>
      </c>
      <c r="F242" s="109">
        <f t="shared" si="48"/>
        <v>0.5</v>
      </c>
      <c r="G242" s="16">
        <v>0</v>
      </c>
      <c r="H242" s="16">
        <v>0</v>
      </c>
      <c r="I242" s="109">
        <f t="shared" si="49"/>
        <v>0</v>
      </c>
      <c r="J242" s="16">
        <v>0</v>
      </c>
      <c r="K242" s="16">
        <v>0</v>
      </c>
      <c r="L242" s="109">
        <f t="shared" si="50"/>
        <v>0</v>
      </c>
      <c r="M242" s="16">
        <v>4</v>
      </c>
      <c r="N242" s="16">
        <v>0</v>
      </c>
      <c r="O242" s="16">
        <v>0</v>
      </c>
      <c r="P242" s="16">
        <v>4</v>
      </c>
      <c r="Q242" s="16">
        <v>0</v>
      </c>
      <c r="R242" s="16">
        <v>2</v>
      </c>
    </row>
    <row r="243" spans="1:18" x14ac:dyDescent="0.25">
      <c r="A243" s="21">
        <v>42255</v>
      </c>
      <c r="B243" s="20"/>
      <c r="C243" s="15" t="s">
        <v>43</v>
      </c>
      <c r="D243" s="16">
        <v>2</v>
      </c>
      <c r="E243" s="16">
        <v>10</v>
      </c>
      <c r="F243" s="109">
        <f t="shared" si="48"/>
        <v>0.2</v>
      </c>
      <c r="G243" s="16">
        <v>1</v>
      </c>
      <c r="H243" s="16">
        <v>2</v>
      </c>
      <c r="I243" s="109">
        <f t="shared" si="49"/>
        <v>0.5</v>
      </c>
      <c r="J243" s="16">
        <v>0</v>
      </c>
      <c r="K243" s="16">
        <v>0</v>
      </c>
      <c r="L243" s="109">
        <f t="shared" si="50"/>
        <v>0</v>
      </c>
      <c r="M243" s="16">
        <v>6</v>
      </c>
      <c r="N243" s="16">
        <v>0</v>
      </c>
      <c r="O243" s="16">
        <v>1</v>
      </c>
      <c r="P243" s="16">
        <v>2</v>
      </c>
      <c r="Q243" s="16">
        <v>0</v>
      </c>
      <c r="R243" s="16">
        <v>5</v>
      </c>
    </row>
    <row r="244" spans="1:18" x14ac:dyDescent="0.25">
      <c r="A244" s="21">
        <v>42256</v>
      </c>
      <c r="B244" s="20"/>
      <c r="C244" s="15" t="s">
        <v>117</v>
      </c>
      <c r="D244" s="16">
        <v>2</v>
      </c>
      <c r="E244" s="16">
        <v>7</v>
      </c>
      <c r="F244" s="109">
        <f t="shared" si="48"/>
        <v>0.2857142857142857</v>
      </c>
      <c r="G244" s="16">
        <v>0</v>
      </c>
      <c r="H244" s="16">
        <v>2</v>
      </c>
      <c r="I244" s="109">
        <f t="shared" si="49"/>
        <v>0</v>
      </c>
      <c r="J244" s="16">
        <v>0</v>
      </c>
      <c r="K244" s="16">
        <v>0</v>
      </c>
      <c r="L244" s="109">
        <f t="shared" si="50"/>
        <v>0</v>
      </c>
      <c r="M244" s="16">
        <v>1</v>
      </c>
      <c r="N244" s="16">
        <v>4</v>
      </c>
      <c r="O244" s="16">
        <v>1</v>
      </c>
      <c r="P244" s="16">
        <v>3</v>
      </c>
      <c r="Q244" s="16">
        <v>0</v>
      </c>
      <c r="R244" s="16">
        <v>4</v>
      </c>
    </row>
    <row r="245" spans="1:18" x14ac:dyDescent="0.25">
      <c r="A245" s="21">
        <v>42256</v>
      </c>
      <c r="B245" s="20"/>
      <c r="C245" s="15" t="s">
        <v>55</v>
      </c>
      <c r="D245" s="16">
        <v>0</v>
      </c>
      <c r="E245" s="16">
        <v>7</v>
      </c>
      <c r="F245" s="109">
        <f t="shared" si="48"/>
        <v>0</v>
      </c>
      <c r="G245" s="16">
        <v>0</v>
      </c>
      <c r="H245" s="16">
        <v>4</v>
      </c>
      <c r="I245" s="109">
        <f t="shared" si="49"/>
        <v>0</v>
      </c>
      <c r="J245" s="16">
        <v>0</v>
      </c>
      <c r="K245" s="16">
        <v>0</v>
      </c>
      <c r="L245" s="109">
        <f t="shared" si="50"/>
        <v>0</v>
      </c>
      <c r="M245" s="16">
        <v>1</v>
      </c>
      <c r="N245" s="16">
        <v>2</v>
      </c>
      <c r="O245" s="16">
        <v>0</v>
      </c>
      <c r="P245" s="16">
        <v>0</v>
      </c>
      <c r="Q245" s="16">
        <v>1</v>
      </c>
      <c r="R245" s="16">
        <v>0</v>
      </c>
    </row>
    <row r="246" spans="1:18" x14ac:dyDescent="0.25">
      <c r="A246" s="21">
        <v>42258</v>
      </c>
      <c r="B246" s="20"/>
      <c r="C246" s="15" t="s">
        <v>40</v>
      </c>
      <c r="D246" s="16">
        <v>2</v>
      </c>
      <c r="E246" s="16">
        <v>5</v>
      </c>
      <c r="F246" s="121">
        <f t="shared" ref="F246:F256" si="51">IF(E246=0,0,D246/E246)</f>
        <v>0.4</v>
      </c>
      <c r="G246" s="16">
        <v>0</v>
      </c>
      <c r="H246" s="16">
        <v>1</v>
      </c>
      <c r="I246" s="121">
        <f t="shared" ref="I246:I256" si="52">IF(H246=0,0,G246/H246)</f>
        <v>0</v>
      </c>
      <c r="J246" s="16">
        <v>0</v>
      </c>
      <c r="K246" s="16">
        <v>0</v>
      </c>
      <c r="L246" s="121">
        <f t="shared" ref="L246:L256" si="53">IF(K246=0,0,J246/K246)</f>
        <v>0</v>
      </c>
      <c r="M246" s="16">
        <v>3</v>
      </c>
      <c r="N246" s="16">
        <v>5</v>
      </c>
      <c r="O246" s="16">
        <v>0</v>
      </c>
      <c r="P246" s="16">
        <v>3</v>
      </c>
      <c r="Q246" s="16">
        <v>2</v>
      </c>
      <c r="R246" s="16">
        <v>4</v>
      </c>
    </row>
    <row r="247" spans="1:18" x14ac:dyDescent="0.25">
      <c r="A247" s="21">
        <v>42258</v>
      </c>
      <c r="B247" s="20"/>
      <c r="C247" s="15" t="s">
        <v>43</v>
      </c>
      <c r="D247" s="16">
        <v>4</v>
      </c>
      <c r="E247" s="16">
        <v>15</v>
      </c>
      <c r="F247" s="121">
        <f t="shared" si="51"/>
        <v>0.26666666666666666</v>
      </c>
      <c r="G247" s="16">
        <v>0</v>
      </c>
      <c r="H247" s="16">
        <v>6</v>
      </c>
      <c r="I247" s="121">
        <f t="shared" si="52"/>
        <v>0</v>
      </c>
      <c r="J247" s="16">
        <v>2</v>
      </c>
      <c r="K247" s="16">
        <v>2</v>
      </c>
      <c r="L247" s="121">
        <f t="shared" si="53"/>
        <v>1</v>
      </c>
      <c r="M247" s="16">
        <v>5</v>
      </c>
      <c r="N247" s="16">
        <v>3</v>
      </c>
      <c r="O247" s="16">
        <v>3</v>
      </c>
      <c r="P247" s="16">
        <v>4</v>
      </c>
      <c r="Q247" s="16">
        <v>0</v>
      </c>
      <c r="R247" s="16">
        <v>10</v>
      </c>
    </row>
    <row r="248" spans="1:18" x14ac:dyDescent="0.25">
      <c r="A248" s="21">
        <v>42258</v>
      </c>
      <c r="B248" s="20"/>
      <c r="C248" s="15" t="s">
        <v>117</v>
      </c>
      <c r="D248" s="16">
        <v>1</v>
      </c>
      <c r="E248" s="16">
        <v>6</v>
      </c>
      <c r="F248" s="121">
        <f t="shared" si="51"/>
        <v>0.16666666666666666</v>
      </c>
      <c r="G248" s="16">
        <v>0</v>
      </c>
      <c r="H248" s="16">
        <v>1</v>
      </c>
      <c r="I248" s="121">
        <f t="shared" si="52"/>
        <v>0</v>
      </c>
      <c r="J248" s="16">
        <v>5</v>
      </c>
      <c r="K248" s="16">
        <v>6</v>
      </c>
      <c r="L248" s="121">
        <f t="shared" si="53"/>
        <v>0.83333333333333337</v>
      </c>
      <c r="M248" s="16">
        <v>3</v>
      </c>
      <c r="N248" s="16">
        <v>3</v>
      </c>
      <c r="O248" s="16">
        <v>1</v>
      </c>
      <c r="P248" s="16">
        <v>0</v>
      </c>
      <c r="Q248" s="16">
        <v>0</v>
      </c>
      <c r="R248" s="16">
        <v>7</v>
      </c>
    </row>
    <row r="249" spans="1:18" x14ac:dyDescent="0.25">
      <c r="A249" s="21">
        <v>42258</v>
      </c>
      <c r="B249" s="20"/>
      <c r="C249" s="15" t="s">
        <v>45</v>
      </c>
      <c r="D249" s="16">
        <v>9</v>
      </c>
      <c r="E249" s="16">
        <v>13</v>
      </c>
      <c r="F249" s="121">
        <f t="shared" si="51"/>
        <v>0.69230769230769229</v>
      </c>
      <c r="G249" s="16">
        <v>3</v>
      </c>
      <c r="H249" s="16">
        <v>4</v>
      </c>
      <c r="I249" s="121">
        <f t="shared" si="52"/>
        <v>0.75</v>
      </c>
      <c r="J249" s="16">
        <v>1</v>
      </c>
      <c r="K249" s="16">
        <v>1</v>
      </c>
      <c r="L249" s="121">
        <f t="shared" si="53"/>
        <v>1</v>
      </c>
      <c r="M249" s="16">
        <v>1</v>
      </c>
      <c r="N249" s="16">
        <v>0</v>
      </c>
      <c r="O249" s="16">
        <v>0</v>
      </c>
      <c r="P249" s="16">
        <v>2</v>
      </c>
      <c r="Q249" s="16">
        <v>0</v>
      </c>
      <c r="R249" s="16">
        <v>22</v>
      </c>
    </row>
    <row r="250" spans="1:18" x14ac:dyDescent="0.25">
      <c r="A250" s="21">
        <v>42258</v>
      </c>
      <c r="B250" s="20"/>
      <c r="C250" s="15" t="s">
        <v>42</v>
      </c>
      <c r="D250" s="16">
        <v>3</v>
      </c>
      <c r="E250" s="16">
        <v>6</v>
      </c>
      <c r="F250" s="121">
        <f t="shared" si="51"/>
        <v>0.5</v>
      </c>
      <c r="G250" s="16">
        <v>0</v>
      </c>
      <c r="H250" s="16">
        <v>0</v>
      </c>
      <c r="I250" s="121">
        <f t="shared" si="52"/>
        <v>0</v>
      </c>
      <c r="J250" s="16">
        <v>0</v>
      </c>
      <c r="K250" s="16">
        <v>1</v>
      </c>
      <c r="L250" s="121">
        <f t="shared" si="53"/>
        <v>0</v>
      </c>
      <c r="M250" s="16">
        <v>8</v>
      </c>
      <c r="N250" s="16">
        <v>1</v>
      </c>
      <c r="O250" s="16">
        <v>0</v>
      </c>
      <c r="P250" s="16">
        <v>1</v>
      </c>
      <c r="Q250" s="16">
        <v>0</v>
      </c>
      <c r="R250" s="16">
        <v>6</v>
      </c>
    </row>
    <row r="251" spans="1:18" x14ac:dyDescent="0.25">
      <c r="A251" s="73">
        <v>42260</v>
      </c>
      <c r="B251" s="20"/>
      <c r="C251" s="15" t="s">
        <v>41</v>
      </c>
      <c r="D251" s="16">
        <v>2</v>
      </c>
      <c r="E251" s="16">
        <v>5</v>
      </c>
      <c r="F251" s="121">
        <f t="shared" si="51"/>
        <v>0.4</v>
      </c>
      <c r="G251" s="16">
        <v>0</v>
      </c>
      <c r="H251" s="16">
        <v>1</v>
      </c>
      <c r="I251" s="121">
        <f t="shared" si="52"/>
        <v>0</v>
      </c>
      <c r="J251" s="16">
        <v>2</v>
      </c>
      <c r="K251" s="16">
        <v>2</v>
      </c>
      <c r="L251" s="121">
        <f t="shared" si="53"/>
        <v>1</v>
      </c>
      <c r="M251" s="16">
        <v>1</v>
      </c>
      <c r="N251" s="16">
        <v>1</v>
      </c>
      <c r="O251" s="16">
        <v>0</v>
      </c>
      <c r="P251" s="16">
        <v>1</v>
      </c>
      <c r="Q251" s="16">
        <v>0</v>
      </c>
      <c r="R251" s="16">
        <v>6</v>
      </c>
    </row>
    <row r="252" spans="1:18" x14ac:dyDescent="0.25">
      <c r="A252" s="73">
        <v>42260</v>
      </c>
      <c r="B252" s="20"/>
      <c r="C252" s="15" t="s">
        <v>42</v>
      </c>
      <c r="D252" s="16">
        <v>2</v>
      </c>
      <c r="E252" s="16">
        <v>4</v>
      </c>
      <c r="F252" s="121">
        <f t="shared" si="51"/>
        <v>0.5</v>
      </c>
      <c r="G252" s="16">
        <v>0</v>
      </c>
      <c r="H252" s="16">
        <v>0</v>
      </c>
      <c r="I252" s="121">
        <f t="shared" si="52"/>
        <v>0</v>
      </c>
      <c r="J252" s="16">
        <v>0</v>
      </c>
      <c r="K252" s="16">
        <v>0</v>
      </c>
      <c r="L252" s="121">
        <f t="shared" si="53"/>
        <v>0</v>
      </c>
      <c r="M252" s="16">
        <v>4</v>
      </c>
      <c r="N252" s="16">
        <v>1</v>
      </c>
      <c r="O252" s="16">
        <v>1</v>
      </c>
      <c r="P252" s="16">
        <v>0</v>
      </c>
      <c r="Q252" s="16">
        <v>0</v>
      </c>
      <c r="R252" s="16">
        <v>4</v>
      </c>
    </row>
    <row r="253" spans="1:18" x14ac:dyDescent="0.25">
      <c r="A253" s="73">
        <v>42260</v>
      </c>
      <c r="B253" s="20"/>
      <c r="C253" s="15" t="s">
        <v>45</v>
      </c>
      <c r="D253" s="16">
        <v>8</v>
      </c>
      <c r="E253" s="16">
        <v>15</v>
      </c>
      <c r="F253" s="121">
        <f t="shared" si="51"/>
        <v>0.53333333333333333</v>
      </c>
      <c r="G253" s="16">
        <v>3</v>
      </c>
      <c r="H253" s="16">
        <v>5</v>
      </c>
      <c r="I253" s="121">
        <f t="shared" si="52"/>
        <v>0.6</v>
      </c>
      <c r="J253" s="16">
        <v>7</v>
      </c>
      <c r="K253" s="16">
        <v>7</v>
      </c>
      <c r="L253" s="121">
        <f t="shared" si="53"/>
        <v>1</v>
      </c>
      <c r="M253" s="16">
        <v>5</v>
      </c>
      <c r="N253" s="16">
        <v>2</v>
      </c>
      <c r="O253" s="16">
        <v>0</v>
      </c>
      <c r="P253" s="16">
        <v>3</v>
      </c>
      <c r="Q253" s="16">
        <v>0</v>
      </c>
      <c r="R253" s="16">
        <v>26</v>
      </c>
    </row>
    <row r="254" spans="1:18" x14ac:dyDescent="0.25">
      <c r="A254" s="73">
        <v>42260</v>
      </c>
      <c r="B254" s="20"/>
      <c r="C254" s="15" t="s">
        <v>43</v>
      </c>
      <c r="D254" s="16">
        <v>1</v>
      </c>
      <c r="E254" s="16">
        <v>10</v>
      </c>
      <c r="F254" s="121">
        <f t="shared" si="51"/>
        <v>0.1</v>
      </c>
      <c r="G254" s="16">
        <v>0</v>
      </c>
      <c r="H254" s="16">
        <v>6</v>
      </c>
      <c r="I254" s="121">
        <f t="shared" si="52"/>
        <v>0</v>
      </c>
      <c r="J254" s="16">
        <v>0</v>
      </c>
      <c r="K254" s="16">
        <v>0</v>
      </c>
      <c r="L254" s="121">
        <f t="shared" si="53"/>
        <v>0</v>
      </c>
      <c r="M254" s="16">
        <v>0</v>
      </c>
      <c r="N254" s="16">
        <v>2</v>
      </c>
      <c r="O254" s="16">
        <v>1</v>
      </c>
      <c r="P254" s="16">
        <v>3</v>
      </c>
      <c r="Q254" s="16">
        <v>0</v>
      </c>
      <c r="R254" s="16">
        <v>2</v>
      </c>
    </row>
    <row r="255" spans="1:18" x14ac:dyDescent="0.25">
      <c r="A255" s="73">
        <v>42260</v>
      </c>
      <c r="B255" s="20"/>
      <c r="C255" s="15" t="s">
        <v>55</v>
      </c>
      <c r="D255" s="16">
        <v>6</v>
      </c>
      <c r="E255" s="16">
        <v>9</v>
      </c>
      <c r="F255" s="121">
        <f t="shared" si="51"/>
        <v>0.66666666666666663</v>
      </c>
      <c r="G255" s="16">
        <v>3</v>
      </c>
      <c r="H255" s="16">
        <v>6</v>
      </c>
      <c r="I255" s="121">
        <f t="shared" si="52"/>
        <v>0.5</v>
      </c>
      <c r="J255" s="16">
        <v>0</v>
      </c>
      <c r="K255" s="16">
        <v>0</v>
      </c>
      <c r="L255" s="121">
        <f t="shared" si="53"/>
        <v>0</v>
      </c>
      <c r="M255" s="16">
        <v>3</v>
      </c>
      <c r="N255" s="16">
        <v>1</v>
      </c>
      <c r="O255" s="16">
        <v>2</v>
      </c>
      <c r="P255" s="16">
        <v>0</v>
      </c>
      <c r="Q255" s="16">
        <v>0</v>
      </c>
      <c r="R255" s="16">
        <v>15</v>
      </c>
    </row>
    <row r="256" spans="1:18" x14ac:dyDescent="0.25">
      <c r="A256" s="73">
        <v>42260</v>
      </c>
      <c r="B256" s="20"/>
      <c r="C256" s="15" t="s">
        <v>40</v>
      </c>
      <c r="D256" s="16">
        <v>2</v>
      </c>
      <c r="E256" s="16">
        <v>6</v>
      </c>
      <c r="F256" s="121">
        <f t="shared" si="51"/>
        <v>0.33333333333333331</v>
      </c>
      <c r="G256" s="16">
        <v>0</v>
      </c>
      <c r="H256" s="16">
        <v>0</v>
      </c>
      <c r="I256" s="121">
        <f t="shared" si="52"/>
        <v>0</v>
      </c>
      <c r="J256" s="16">
        <v>2</v>
      </c>
      <c r="K256" s="16">
        <v>2</v>
      </c>
      <c r="L256" s="121">
        <f t="shared" si="53"/>
        <v>1</v>
      </c>
      <c r="M256" s="16">
        <v>6</v>
      </c>
      <c r="N256" s="16">
        <v>0</v>
      </c>
      <c r="O256" s="16">
        <v>0</v>
      </c>
      <c r="P256" s="16">
        <v>2</v>
      </c>
      <c r="Q256" s="16">
        <v>1</v>
      </c>
      <c r="R256" s="16">
        <v>6</v>
      </c>
    </row>
    <row r="258" spans="1:18" x14ac:dyDescent="0.25">
      <c r="A258" s="6" t="s">
        <v>17</v>
      </c>
      <c r="D258" s="6">
        <f>SUBTOTAL(109,davisballer3Stats[FGM])</f>
        <v>846</v>
      </c>
      <c r="E258" s="6">
        <f>SUBTOTAL(109,davisballer3Stats[FGA])</f>
        <v>2095</v>
      </c>
      <c r="F258" s="7">
        <f>davisballer3Stats[[#Totals],[FGM]]/davisballer3Stats[[#Totals],[FGA]]</f>
        <v>0.40381861575178996</v>
      </c>
      <c r="G258" s="6">
        <f>SUBTOTAL(109,davisballer3Stats[3-PT FGM])</f>
        <v>146</v>
      </c>
      <c r="H258" s="6">
        <f>SUBTOTAL(109,davisballer3Stats[3-PT FGA])</f>
        <v>478</v>
      </c>
      <c r="I258" s="7">
        <f>davisballer3Stats[[#Totals],[3-PT FGM]]/davisballer3Stats[[#Totals],[3-PT FGA]]</f>
        <v>0.30543933054393307</v>
      </c>
      <c r="J258" s="6">
        <f>SUBTOTAL(109,davisballer3Stats[FTM])</f>
        <v>457</v>
      </c>
      <c r="K258" s="6">
        <f>SUBTOTAL(109,davisballer3Stats[FTA])</f>
        <v>558</v>
      </c>
      <c r="L258" s="7">
        <f>davisballer3Stats[[#Totals],[FTM]]/davisballer3Stats[[#Totals],[FTA]]</f>
        <v>0.81899641577060933</v>
      </c>
      <c r="M258" s="6">
        <f>SUBTOTAL(109,davisballer3Stats[REB])</f>
        <v>1035</v>
      </c>
      <c r="N258" s="6">
        <f>SUBTOTAL(109,davisballer3Stats[AST])</f>
        <v>601</v>
      </c>
      <c r="O258" s="6">
        <f>SUBTOTAL(109,davisballer3Stats[STL])</f>
        <v>201</v>
      </c>
      <c r="P258" s="6">
        <f>SUBTOTAL(109,davisballer3Stats[TO])</f>
        <v>426</v>
      </c>
      <c r="Q258" s="6">
        <f>SUBTOTAL(109,davisballer3Stats[BLK])</f>
        <v>109</v>
      </c>
      <c r="R258" s="6">
        <f>SUBTOTAL(109,davisballer3Stats[PTS])</f>
        <v>2295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tabSelected="1" topLeftCell="A3" workbookViewId="0">
      <selection sqref="A1:R24"/>
    </sheetView>
  </sheetViews>
  <sheetFormatPr defaultRowHeight="15" x14ac:dyDescent="0.25"/>
  <cols>
    <col min="1" max="1" width="19.140625" customWidth="1"/>
    <col min="2" max="2" width="8.42578125" bestFit="1" customWidth="1"/>
    <col min="3" max="3" width="5.85546875" bestFit="1" customWidth="1"/>
    <col min="4" max="4" width="7.5703125" style="1" bestFit="1" customWidth="1"/>
    <col min="5" max="5" width="9.28515625" customWidth="1"/>
    <col min="6" max="6" width="8.85546875" customWidth="1"/>
    <col min="7" max="7" width="6.5703125" customWidth="1"/>
    <col min="8" max="8" width="4.7109375" customWidth="1"/>
    <col min="9" max="9" width="5" bestFit="1" customWidth="1"/>
    <col min="10" max="10" width="6.5703125" customWidth="1"/>
    <col min="11" max="12" width="5" bestFit="1" customWidth="1"/>
    <col min="13" max="13" width="3.85546875" customWidth="1"/>
    <col min="14" max="14" width="5" bestFit="1" customWidth="1"/>
    <col min="15" max="15" width="4.140625" customWidth="1"/>
    <col min="16" max="16" width="5" customWidth="1"/>
    <col min="17" max="17" width="5" bestFit="1" customWidth="1"/>
    <col min="18" max="18" width="4" bestFit="1" customWidth="1"/>
  </cols>
  <sheetData>
    <row r="1" spans="1:18" s="6" customFormat="1" x14ac:dyDescent="0.25">
      <c r="A1" s="124" t="s">
        <v>164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x14ac:dyDescent="0.25">
      <c r="A2" s="6" t="s">
        <v>18</v>
      </c>
      <c r="B2" s="3" t="s">
        <v>2</v>
      </c>
      <c r="C2" s="3" t="s">
        <v>3</v>
      </c>
      <c r="D2" s="5" t="s">
        <v>4</v>
      </c>
      <c r="E2" s="3" t="s">
        <v>5</v>
      </c>
      <c r="F2" s="3" t="s">
        <v>6</v>
      </c>
      <c r="G2" s="5" t="s">
        <v>7</v>
      </c>
      <c r="H2" s="3" t="s">
        <v>8</v>
      </c>
      <c r="I2" s="3" t="s">
        <v>9</v>
      </c>
      <c r="J2" s="5" t="s">
        <v>10</v>
      </c>
      <c r="K2" s="3" t="s">
        <v>11</v>
      </c>
      <c r="L2" s="3" t="s">
        <v>12</v>
      </c>
      <c r="M2" s="3" t="s">
        <v>15</v>
      </c>
      <c r="N2" s="3" t="s">
        <v>16</v>
      </c>
      <c r="O2" s="3" t="s">
        <v>14</v>
      </c>
      <c r="P2" s="3" t="s">
        <v>13</v>
      </c>
      <c r="R2" s="11"/>
    </row>
    <row r="3" spans="1:18" s="6" customFormat="1" x14ac:dyDescent="0.25">
      <c r="A3" s="125" t="s">
        <v>25</v>
      </c>
      <c r="B3" s="6">
        <f>beckyhammonfan1Stats[[#Totals],[FGM]]</f>
        <v>1017</v>
      </c>
      <c r="C3" s="6">
        <f>beckyhammonfan1Stats[[#Totals],[FGA]]</f>
        <v>2216</v>
      </c>
      <c r="D3" s="8">
        <f>beckyhammonfan1Stats[[#Totals],[FG%]]</f>
        <v>0.45893501805054154</v>
      </c>
      <c r="E3" s="6">
        <f>beckyhammonfan1Stats[[#Totals],[3-PT FGM]]</f>
        <v>102</v>
      </c>
      <c r="F3" s="6">
        <f>beckyhammonfan1Stats[[#Totals],[3-PT FGA]]</f>
        <v>309</v>
      </c>
      <c r="G3" s="8">
        <f>beckyhammonfan1Stats[[#Totals],[3-PT FGM]]/beckyhammonfan1Stats[[#Totals],[3-PT FGA]]</f>
        <v>0.3300970873786408</v>
      </c>
      <c r="H3" s="6">
        <f>beckyhammonfan1Stats[[#Totals],[FTM]]</f>
        <v>542</v>
      </c>
      <c r="I3" s="6">
        <f>beckyhammonfan1Stats[[#Totals],[FTA]]</f>
        <v>650</v>
      </c>
      <c r="J3" s="8">
        <f>beckyhammonfan1Stats[[#Totals],[FTM]]/beckyhammonfan1Stats[[#Totals],[FTA]]</f>
        <v>0.83384615384615379</v>
      </c>
      <c r="K3" s="6">
        <f>beckyhammonfan1Stats[[#Totals],[REB]]</f>
        <v>1151</v>
      </c>
      <c r="L3" s="6">
        <f>beckyhammonfan1Stats[[#Totals],[AST]]</f>
        <v>620</v>
      </c>
      <c r="M3" s="6">
        <f>beckyhammonfan1Stats[[#Totals],[STL]]</f>
        <v>266</v>
      </c>
      <c r="N3" s="6">
        <f>beckyhammonfan1Stats[[#Totals],[TO]]</f>
        <v>441</v>
      </c>
      <c r="O3" s="6">
        <f>beckyhammonfan1Stats[[#Totals],[BLK]]</f>
        <v>131</v>
      </c>
      <c r="P3" s="6">
        <f>beckyhammonfan1Stats[[#Totals],[PTS]]</f>
        <v>2678</v>
      </c>
      <c r="R3" s="10"/>
    </row>
    <row r="4" spans="1:18" s="6" customFormat="1" x14ac:dyDescent="0.25">
      <c r="A4" s="126" t="s">
        <v>21</v>
      </c>
      <c r="B4" s="6">
        <f>myrtleStats[[#Totals],[FGM]]</f>
        <v>854</v>
      </c>
      <c r="C4" s="6">
        <f>myrtleStats[[#Totals],[FGA]]</f>
        <v>2093</v>
      </c>
      <c r="D4" s="8">
        <f>myrtleStats[[#Totals],[FG%]]</f>
        <v>0.40802675585284282</v>
      </c>
      <c r="E4" s="6">
        <f>myrtleStats[[#Totals],[3-PT FGM]]</f>
        <v>247</v>
      </c>
      <c r="F4" s="6">
        <f>myrtleStats[[#Totals],[3-PT FGA]]</f>
        <v>708</v>
      </c>
      <c r="G4" s="8">
        <f>myrtleStats[[#Totals],[3-PT FGM]]/myrtleStats[[#Totals],[3-PT FGA]]</f>
        <v>0.34887005649717512</v>
      </c>
      <c r="H4" s="6">
        <f>myrtleStats[[#Totals],[FTM]]</f>
        <v>518</v>
      </c>
      <c r="I4" s="6">
        <f>myrtleStats[[#Totals],[FTA]]</f>
        <v>634</v>
      </c>
      <c r="J4" s="8">
        <f>myrtleStats[[#Totals],[FTM]]/myrtleStats[[#Totals],[FTA]]</f>
        <v>0.81703470031545744</v>
      </c>
      <c r="K4" s="6">
        <f>myrtleStats[[#Totals],[REB]]</f>
        <v>1037</v>
      </c>
      <c r="L4" s="6">
        <f>myrtleStats[[#Totals],[AST]]</f>
        <v>537</v>
      </c>
      <c r="M4" s="6">
        <f>myrtleStats[[#Totals],[STL]]</f>
        <v>247</v>
      </c>
      <c r="N4" s="6">
        <f>myrtleStats[[#Totals],[TO]]</f>
        <v>396</v>
      </c>
      <c r="O4" s="6">
        <f>myrtleStats[[#Totals],[BLK]]</f>
        <v>161</v>
      </c>
      <c r="P4" s="6">
        <f>myrtleStats[[#Totals],[PTS]]</f>
        <v>2473</v>
      </c>
      <c r="R4" s="10"/>
    </row>
    <row r="5" spans="1:18" x14ac:dyDescent="0.25">
      <c r="A5" s="126" t="s">
        <v>26</v>
      </c>
      <c r="B5" s="6">
        <f>BlackTigersStats[[#Totals],[FGM]]</f>
        <v>870</v>
      </c>
      <c r="C5" s="6">
        <f>BlackTigersStats[[#Totals],[FGA]]</f>
        <v>2005</v>
      </c>
      <c r="D5" s="8">
        <f>BlackTigersStats[[#Totals],[FG%]]</f>
        <v>0.43391521197007482</v>
      </c>
      <c r="E5" s="6">
        <f>BlackTigersStats[[#Totals],[3-PT FGM]]</f>
        <v>172</v>
      </c>
      <c r="F5" s="6">
        <f>BlackTigersStats[[#Totals],[3-PT FGA]]</f>
        <v>500</v>
      </c>
      <c r="G5" s="8">
        <f>BlackTigersStats[[#Totals],[3-PT FGM]]/BlackTigersStats[[#Totals],[3-PT FGA]]</f>
        <v>0.34399999999999997</v>
      </c>
      <c r="H5" s="6">
        <f>BlackTigersStats[[#Totals],[FTM]]</f>
        <v>388</v>
      </c>
      <c r="I5" s="6">
        <f>BlackTigersStats[[#Totals],[FTA]]</f>
        <v>468</v>
      </c>
      <c r="J5" s="8">
        <f>BlackTigersStats[[#Totals],[FTM]]/BlackTigersStats[[#Totals],[FTA]]</f>
        <v>0.82905982905982911</v>
      </c>
      <c r="K5" s="6">
        <f>BlackTigersStats[[#Totals],[REB]]</f>
        <v>927</v>
      </c>
      <c r="L5" s="6">
        <f>BlackTigersStats[[#Totals],[AST]]</f>
        <v>409</v>
      </c>
      <c r="M5" s="6">
        <f>BlackTigersStats[[#Totals],[STL]]</f>
        <v>197</v>
      </c>
      <c r="N5" s="6">
        <f>BlackTigersStats[[#Totals],[TO]]</f>
        <v>317</v>
      </c>
      <c r="O5" s="6">
        <f>BlackTigersStats[[#Totals],[BLK]]</f>
        <v>153</v>
      </c>
      <c r="P5" s="6">
        <f>BlackTigersStats[[#Totals],[PTS]]</f>
        <v>2300</v>
      </c>
      <c r="Q5" s="6"/>
      <c r="R5" s="10"/>
    </row>
    <row r="6" spans="1:18" x14ac:dyDescent="0.25">
      <c r="A6" s="126" t="s">
        <v>28</v>
      </c>
      <c r="B6" s="6">
        <f>newkidStats[[#Totals],[FGM]]</f>
        <v>868</v>
      </c>
      <c r="C6" s="6">
        <f>newkidStats[[#Totals],[FGA]]</f>
        <v>2067</v>
      </c>
      <c r="D6" s="8">
        <f>newkidStats[[#Totals],[FG%]]</f>
        <v>0.41993226898887276</v>
      </c>
      <c r="E6" s="6">
        <f>newkidStats[[#Totals],[3-PT FGM]]</f>
        <v>148</v>
      </c>
      <c r="F6" s="6">
        <f>newkidStats[[#Totals],[3-PT FGA]]</f>
        <v>455</v>
      </c>
      <c r="G6" s="8">
        <f>newkidStats[[#Totals],[3-PT FGM]]/newkidStats[[#Totals],[3-PT FGA]]</f>
        <v>0.32527472527472528</v>
      </c>
      <c r="H6" s="6">
        <f>newkidStats[[#Totals],[FTM]]</f>
        <v>564</v>
      </c>
      <c r="I6" s="6">
        <f>newkidStats[[#Totals],[FTA]]</f>
        <v>652</v>
      </c>
      <c r="J6" s="8">
        <f>newkidStats[[#Totals],[FTM]]/newkidStats[[#Totals],[FTA]]</f>
        <v>0.86503067484662577</v>
      </c>
      <c r="K6" s="6">
        <f>newkidStats[[#Totals],[REB]]</f>
        <v>1036</v>
      </c>
      <c r="L6" s="6">
        <f>newkidStats[[#Totals],[AST]]</f>
        <v>440</v>
      </c>
      <c r="M6" s="6">
        <f>newkidStats[[#Totals],[STL]]</f>
        <v>193</v>
      </c>
      <c r="N6" s="6">
        <f>newkidStats[[#Totals],[TO]]</f>
        <v>338</v>
      </c>
      <c r="O6" s="6">
        <f>newkidStats[[#Totals],[BLK]]</f>
        <v>127</v>
      </c>
      <c r="P6" s="6">
        <f>newkidStats[[#Totals],[PTS]]</f>
        <v>2448</v>
      </c>
      <c r="Q6" s="6"/>
      <c r="R6" s="10"/>
    </row>
    <row r="7" spans="1:18" s="6" customFormat="1" x14ac:dyDescent="0.25">
      <c r="A7" s="125" t="s">
        <v>23</v>
      </c>
      <c r="B7" s="6">
        <f>rokky10Stats[[#Totals],[FGM]]</f>
        <v>777</v>
      </c>
      <c r="C7" s="6">
        <f>rokky10Stats[[#Totals],[FGA]]</f>
        <v>1735</v>
      </c>
      <c r="D7" s="8">
        <f>rokky10Stats[[#Totals],[FG%]]</f>
        <v>0.44783861671469738</v>
      </c>
      <c r="E7" s="6">
        <f>rokky10Stats[[#Totals],[3-PT FGM]]</f>
        <v>129</v>
      </c>
      <c r="F7" s="6">
        <f>rokky10Stats[[#Totals],[3-PT FGA]]</f>
        <v>373</v>
      </c>
      <c r="G7" s="8">
        <f>rokky10Stats[[#Totals],[3-PT FGM]]/rokky10Stats[[#Totals],[3-PT FGA]]</f>
        <v>0.34584450402144773</v>
      </c>
      <c r="H7" s="6">
        <f>rokky10Stats[[#Totals],[FTM]]</f>
        <v>455</v>
      </c>
      <c r="I7" s="6">
        <f>rokky10Stats[[#Totals],[FTA]]</f>
        <v>577</v>
      </c>
      <c r="J7" s="8">
        <f>rokky10Stats[[#Totals],[FTM]]/rokky10Stats[[#Totals],[FTA]]</f>
        <v>0.78856152512998268</v>
      </c>
      <c r="K7" s="6">
        <f>rokky10Stats[[#Totals],[REB]]</f>
        <v>1039</v>
      </c>
      <c r="L7" s="6">
        <f>rokky10Stats[[#Totals],[AST]]</f>
        <v>444</v>
      </c>
      <c r="M7" s="6">
        <f>rokky10Stats[[#Totals],[STL]]</f>
        <v>183</v>
      </c>
      <c r="N7" s="6">
        <f>rokky10Stats[[#Totals],[TO]]</f>
        <v>334</v>
      </c>
      <c r="O7" s="6">
        <f>rokky10Stats[[#Totals],[BLK]]</f>
        <v>183</v>
      </c>
      <c r="P7" s="6">
        <f>rokky10Stats[[#Totals],[PTS]]</f>
        <v>2138</v>
      </c>
      <c r="R7" s="10"/>
    </row>
    <row r="8" spans="1:18" x14ac:dyDescent="0.25">
      <c r="A8" s="126" t="s">
        <v>145</v>
      </c>
      <c r="B8" s="6">
        <f>hustlefanStats[[#Totals],[FGM]]</f>
        <v>772</v>
      </c>
      <c r="C8" s="6">
        <f>hustlefanStats[[#Totals],[FGA]]</f>
        <v>1625</v>
      </c>
      <c r="D8" s="8">
        <f>hustlefanStats[[#Totals],[FG%]]</f>
        <v>0.47507692307692306</v>
      </c>
      <c r="E8" s="6">
        <f>hustlefanStats[[#Totals],[3-PT FGM]]</f>
        <v>85</v>
      </c>
      <c r="F8" s="6">
        <f>hustlefanStats[[#Totals],[3-PT FGA]]</f>
        <v>239</v>
      </c>
      <c r="G8" s="8">
        <f>hustlefanStats[[#Totals],[3-PT FGM]]/hustlefanStats[[#Totals],[3-PT FGA]]</f>
        <v>0.35564853556485354</v>
      </c>
      <c r="H8" s="6">
        <f>hustlefanStats[[#Totals],[FTM]]</f>
        <v>310</v>
      </c>
      <c r="I8" s="6">
        <f>hustlefanStats[[#Totals],[FTA]]</f>
        <v>375</v>
      </c>
      <c r="J8" s="8">
        <f>hustlefanStats[[#Totals],[FTM]]/hustlefanStats[[#Totals],[FTA]]</f>
        <v>0.82666666666666666</v>
      </c>
      <c r="K8" s="6">
        <f>hustlefanStats[[#Totals],[REB]]</f>
        <v>916</v>
      </c>
      <c r="L8" s="6">
        <f>hustlefanStats[[#Totals],[AST]]</f>
        <v>437</v>
      </c>
      <c r="M8" s="6">
        <f>hustlefanStats[[#Totals],[STL]]</f>
        <v>159</v>
      </c>
      <c r="N8" s="6">
        <f>hustlefanStats[[#Totals],[TO]]</f>
        <v>331</v>
      </c>
      <c r="O8" s="6">
        <f>hustlefanStats[[#Totals],[BLK]]</f>
        <v>109</v>
      </c>
      <c r="P8" s="6">
        <f>hustlefanStats[[#Totals],[PTS]]</f>
        <v>1939</v>
      </c>
      <c r="R8" s="10"/>
    </row>
    <row r="9" spans="1:18" s="6" customFormat="1" x14ac:dyDescent="0.25">
      <c r="A9" s="125" t="s">
        <v>163</v>
      </c>
      <c r="B9" s="6">
        <f>davisballer3Stats[[#Totals],[FGM]]</f>
        <v>846</v>
      </c>
      <c r="C9" s="6">
        <f>davisballer3Stats[[#Totals],[FGA]]</f>
        <v>2095</v>
      </c>
      <c r="D9" s="8">
        <f>davisballer3Stats[[#Totals],[FG%]]</f>
        <v>0.40381861575178996</v>
      </c>
      <c r="E9" s="6">
        <f>davisballer3Stats[[#Totals],[3-PT FGM]]</f>
        <v>146</v>
      </c>
      <c r="F9" s="6">
        <f>davisballer3Stats[[#Totals],[3-PT FGA]]</f>
        <v>478</v>
      </c>
      <c r="G9" s="8">
        <f>davisballer3Stats[[#Totals],[3-PT FGM]]/davisballer3Stats[[#Totals],[3-PT FGA]]</f>
        <v>0.30543933054393307</v>
      </c>
      <c r="H9" s="6">
        <f>davisballer3Stats[[#Totals],[FTM]]</f>
        <v>457</v>
      </c>
      <c r="I9" s="6">
        <f>davisballer3Stats[[#Totals],[FTA]]</f>
        <v>558</v>
      </c>
      <c r="J9" s="8">
        <f>davisballer3Stats[[#Totals],[FTM]]/davisballer3Stats[[#Totals],[FTA]]</f>
        <v>0.81899641577060933</v>
      </c>
      <c r="K9" s="6">
        <f>davisballer3Stats[[#Totals],[REB]]</f>
        <v>1035</v>
      </c>
      <c r="L9" s="6">
        <f>davisballer3Stats[[#Totals],[AST]]</f>
        <v>601</v>
      </c>
      <c r="M9" s="6">
        <f>davisballer3Stats[[#Totals],[STL]]</f>
        <v>201</v>
      </c>
      <c r="N9" s="6">
        <f>davisballer3Stats[[#Totals],[TO]]</f>
        <v>426</v>
      </c>
      <c r="O9" s="6">
        <f>davisballer3Stats[[#Totals],[BLK]]</f>
        <v>109</v>
      </c>
      <c r="P9" s="6">
        <f>davisballer3Stats[[#Totals],[PTS]]</f>
        <v>2295</v>
      </c>
      <c r="R9" s="10"/>
    </row>
    <row r="10" spans="1:18" x14ac:dyDescent="0.25">
      <c r="A10" s="126" t="s">
        <v>27</v>
      </c>
      <c r="B10" s="6">
        <f>alexisfanStats[[#Totals],[FGM]]</f>
        <v>891</v>
      </c>
      <c r="C10" s="6">
        <f>alexisfanStats[[#Totals],[FGA]]</f>
        <v>2186</v>
      </c>
      <c r="D10" s="8">
        <f>alexisfanStats[[#Totals],[FG%]]</f>
        <v>0.40759377859103385</v>
      </c>
      <c r="E10" s="6">
        <f>alexisfanStats[[#Totals],[3-PT FGM]]</f>
        <v>124</v>
      </c>
      <c r="F10" s="6">
        <f>alexisfanStats[[#Totals],[3-PT FGA]]</f>
        <v>410</v>
      </c>
      <c r="G10" s="8">
        <f>IF(alexisfanStats[[#Totals],[3-PT FGA]]=0,0,alexisfanStats[[#Totals],[3-PT FGM]]/alexisfanStats[[#Totals],[3-PT FGA]])</f>
        <v>0.30243902439024389</v>
      </c>
      <c r="H10" s="6">
        <f>alexisfanStats[[#Totals],[FTM]]</f>
        <v>591</v>
      </c>
      <c r="I10" s="6">
        <f>alexisfanStats[[#Totals],[FTA]]</f>
        <v>753</v>
      </c>
      <c r="J10" s="8">
        <f>alexisfanStats[[#Totals],[FTM]]/alexisfanStats[[#Totals],[FTA]]</f>
        <v>0.78486055776892427</v>
      </c>
      <c r="K10" s="6">
        <f>alexisfanStats[[#Totals],[REB]]</f>
        <v>921</v>
      </c>
      <c r="L10" s="6">
        <f>alexisfanStats[[#Totals],[AST]]</f>
        <v>552</v>
      </c>
      <c r="M10" s="6">
        <f>alexisfanStats[[#Totals],[STL]]</f>
        <v>246</v>
      </c>
      <c r="N10" s="6">
        <f>alexisfanStats[[#Totals],[TO]]</f>
        <v>465</v>
      </c>
      <c r="O10" s="6">
        <f>alexisfanStats[[#Totals],[BLK]]</f>
        <v>102</v>
      </c>
      <c r="P10" s="6">
        <f>alexisfanStats[[#Totals],[PTS]]</f>
        <v>2497</v>
      </c>
      <c r="Q10" s="6"/>
      <c r="R10" s="10"/>
    </row>
    <row r="11" spans="1:18" s="6" customFormat="1" x14ac:dyDescent="0.25">
      <c r="A11" s="125" t="s">
        <v>24</v>
      </c>
      <c r="B11" s="6">
        <f>shootsandscoresStats[[#Totals],[FGM]]</f>
        <v>859</v>
      </c>
      <c r="C11" s="6">
        <f>shootsandscoresStats[[#Totals],[FGA]]</f>
        <v>2069</v>
      </c>
      <c r="D11" s="8">
        <f>shootsandscoresStats[[#Totals],[FG%]]</f>
        <v>0.41517641372643788</v>
      </c>
      <c r="E11" s="6">
        <f>shootsandscoresStats[[#Totals],[3-PT FGM]]</f>
        <v>138</v>
      </c>
      <c r="F11" s="6">
        <f>shootsandscoresStats[[#Totals],[3-PT FGA]]</f>
        <v>465</v>
      </c>
      <c r="G11" s="8">
        <f>shootsandscoresStats[[#Totals],[3-PT FGM]]/shootsandscoresStats[[#Totals],[3-PT FGA]]</f>
        <v>0.29677419354838708</v>
      </c>
      <c r="H11" s="6">
        <f>shootsandscoresStats[[#Totals],[FTM]]</f>
        <v>477</v>
      </c>
      <c r="I11" s="6">
        <f>shootsandscoresStats[[#Totals],[FTA]]</f>
        <v>615</v>
      </c>
      <c r="J11" s="8">
        <f>shootsandscoresStats[[#Totals],[FTM]]/shootsandscoresStats[[#Totals],[FTA]]</f>
        <v>0.775609756097561</v>
      </c>
      <c r="K11" s="6">
        <f>shootsandscoresStats[[#Totals],[REB]]</f>
        <v>905</v>
      </c>
      <c r="L11" s="6">
        <f>shootsandscoresStats[[#Totals],[AST]]</f>
        <v>410</v>
      </c>
      <c r="M11" s="6">
        <f>shootsandscoresStats[[#Totals],[STL]]</f>
        <v>213</v>
      </c>
      <c r="N11" s="6">
        <f>shootsandscoresStats[[#Totals],[TO]]</f>
        <v>372</v>
      </c>
      <c r="O11" s="6">
        <f>shootsandscoresStats[[#Totals],[BLK]]</f>
        <v>96</v>
      </c>
      <c r="P11" s="6">
        <f>shootsandscoresStats[[#Totals],[PTS]]</f>
        <v>2333</v>
      </c>
      <c r="R11" s="10"/>
    </row>
    <row r="12" spans="1:18" x14ac:dyDescent="0.25">
      <c r="A12" s="125" t="s">
        <v>22</v>
      </c>
      <c r="B12" s="6">
        <f>idchafeeStats[[#Totals],[FGM]]</f>
        <v>810</v>
      </c>
      <c r="C12" s="6">
        <f>idchafeeStats[[#Totals],[FGA]]</f>
        <v>1815</v>
      </c>
      <c r="D12" s="8">
        <f>idchafeeStats[[#Totals],[FG%]]</f>
        <v>0.4462809917355372</v>
      </c>
      <c r="E12" s="6">
        <f>idchafeeStats[[#Totals],[3-PT FGM]]</f>
        <v>81</v>
      </c>
      <c r="F12" s="6">
        <f>idchafeeStats[[#Totals],[3-PT FGA]]</f>
        <v>271</v>
      </c>
      <c r="G12" s="8">
        <f>idchafeeStats[[#Totals],[3-PT FGM]]/idchafeeStats[[#Totals],[3-PT FGA]]</f>
        <v>0.2988929889298893</v>
      </c>
      <c r="H12" s="6">
        <f>idchafeeStats[[#Totals],[FTM]]</f>
        <v>313</v>
      </c>
      <c r="I12" s="6">
        <f>idchafeeStats[[#Totals],[FTA]]</f>
        <v>411</v>
      </c>
      <c r="J12" s="8">
        <f>idchafeeStats[[#Totals],[FTM]]/idchafeeStats[[#Totals],[FTA]]</f>
        <v>0.76155717761557173</v>
      </c>
      <c r="K12" s="6">
        <f>idchafeeStats[[#Totals],[REB]]</f>
        <v>823</v>
      </c>
      <c r="L12" s="6">
        <f>idchafeeStats[[#Totals],[AST]]</f>
        <v>359</v>
      </c>
      <c r="M12" s="6">
        <f>idchafeeStats[[#Totals],[STL]]</f>
        <v>164</v>
      </c>
      <c r="N12" s="6">
        <f>idchafeeStats[[#Totals],[TO]]</f>
        <v>290</v>
      </c>
      <c r="O12" s="6">
        <f>idchafeeStats[[#Totals],[BLK]]</f>
        <v>92</v>
      </c>
      <c r="P12" s="6">
        <f>idchafeeStats[[#Totals],[PTS]]</f>
        <v>2014</v>
      </c>
      <c r="Q12" s="6"/>
      <c r="R12" s="10"/>
    </row>
    <row r="13" spans="1:18" s="6" customFormat="1" x14ac:dyDescent="0.25">
      <c r="A13" s="12"/>
      <c r="D13" s="8"/>
      <c r="G13" s="8"/>
      <c r="J13" s="8"/>
      <c r="R13" s="10"/>
    </row>
    <row r="14" spans="1:18" x14ac:dyDescent="0.25">
      <c r="A14" s="6"/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0" t="s">
        <v>20</v>
      </c>
    </row>
    <row r="15" spans="1:18" x14ac:dyDescent="0.25">
      <c r="A15" s="125" t="s">
        <v>25</v>
      </c>
      <c r="D15" s="10">
        <f>1+--(D3&gt;D8)+--(D3&gt;D11)+--(D3&gt;D4)+--(D3&gt;D6)+--(D3&gt;D7)+--(D3&gt;D10)+--(D3&gt;D5)+--(D3&gt;D12)+--(D3&gt;D9)+0.5*--(D3=D8)+0.5*--(D3=D11)+0.5*--(D3=D4)+0.5*--(D3=D6)+0.5*--(D3=D7)+0.5*--(D3=D10)+0.5*--(D3=D5)+0.5*--(D3=D12)+0.5*--(D3=D9)</f>
        <v>9</v>
      </c>
      <c r="E15" s="10">
        <f>1+--(E3&gt;E8)+--(E3&gt;E11)+--(E3&gt;E4)+--(E3&gt;E6)+--(E3&gt;E7)+--(E3&gt;E10)+--(E3&gt;E5)+--(E3&gt;E12)+--(E3&gt;E9)+0.5*--(E3=E8)+0.5*--(E3=E11)+0.5*--(E3=E4)+0.5*--(E3=E6)+0.5*--(E3=E7)+0.5*--(E3=E10)+0.5*--(E3=E5)+0.5*--(E3=E12)+0.5*--(E3=E9)</f>
        <v>3</v>
      </c>
      <c r="G15" s="10">
        <f>1+--(G3&gt;G8)+--(G3&gt;G11)+--(G3&gt;G4)+--(G3&gt;G6)+--(G3&gt;G7)+--(G3&gt;G10)+--(G3&gt;G5)+--(G3&gt;G12)+--(G3&gt;G9)+0.5*--(G3=G8)+0.5*--(G3=G11)+0.5*--(G3=G4)+0.5*--(G3=G6)+0.5*--(G3=G7)+0.5*--(G3=G10)+0.5*--(G3=G5)+0.5*--(G3=G12)+0.5*--(G3=G9)</f>
        <v>6</v>
      </c>
      <c r="J15" s="10">
        <f>1+--(J3&gt;J8)+--(J3&gt;J11)+--(J3&gt;J4)+--(J3&gt;J6)+--(J3&gt;J7)+--(J3&gt;J10)+--(J3&gt;J5)+--(J3&gt;J12)+--(J3&gt;J9)+0.5*--(J3=J8)+0.5*--(J3=J11)+0.5*--(J3=J4)+0.5*--(J3=J6)+0.5*--(J3=J7)+0.5*--(J3=J10)+0.5*--(J3=J5)+0.5*--(J3=J12)+0.5*--(J3=J9)</f>
        <v>9</v>
      </c>
      <c r="K15" s="10">
        <f>1+--(K3&gt;K8)+--(K3&gt;K11)+--(K3&gt;K4)+--(K3&gt;K6)+--(K3&gt;K7)+--(K3&gt;K10)+--(K3&gt;K5)+--(K3&gt;K12)+--(K3&gt;K9)+0.5*--(K3=K8)+0.5*--(K3=K11)+0.5*--(K3=K4)+0.5*--(K3=K6)+0.5*--(K3=K7)+0.5*--(K3=K10)+0.5*--(K3=K5)+0.5*--(K3=K12)+0.5*--(K3=K9)</f>
        <v>10</v>
      </c>
      <c r="L15" s="10">
        <f>1+--(L3&gt;L8)+--(L3&gt;L11)+--(L3&gt;L4)+--(L3&gt;L6)+--(L3&gt;L7)+--(L3&gt;L10)+--(L3&gt;L5)+--(L3&gt;L12)+--(L3&gt;L9)+0.5*--(L3=L8)+0.5*--(L3=L11)+0.5*--(L3=L4)+0.5*--(L3=L6)+0.5*--(L3=L7)+0.5*--(L3=L10)+0.5*--(L3=L5)+0.5*--(L3=L12)+0.5*--(L3=L9)</f>
        <v>10</v>
      </c>
      <c r="M15" s="10">
        <f>1+--(M3&gt;M8)+--(M3&gt;M11)+--(M3&gt;M4)+--(M3&gt;M6)+--(M3&gt;M7)+--(M3&gt;M10)+--(M3&gt;M5)+--(M3&gt;M12)+--(M3&gt;M9)+0.5*--(M3=M8)+0.5*--(M3=M11)+0.5*--(M3=M4)+0.5*--(M3=M6)+0.5*--(M3=M7)+0.5*--(M3=M10)+0.5*--(M3=M5)+0.5*--(M3=M12)+0.5*--(M3=M9)</f>
        <v>10</v>
      </c>
      <c r="N15" s="10">
        <f>1+--(N3&lt;N8)+--(N3&lt;N11)+--(N3&lt;N4)+--(N3&lt;N6)+--(N3&lt;N7)+--(N3&lt;N10)+--(N3&lt;N5)+--(N3&lt;N12)+--(N3&lt;N9)+0.5*--(N3=N8)+0.5*--(N3=N11)+0.5*--(N3=N4)+0.5*--(N3=N6)+0.5*--(N3=N7)+0.5*--(N3=N10)+0.5*--(N3=N5)+0.5*--(N3=N12)+0.5*--(N3=N9)</f>
        <v>2</v>
      </c>
      <c r="O15" s="10">
        <f>1+--(O3&gt;O8)+--(O3&gt;O11)+--(O3&gt;O4)+--(O3&gt;O6)+--(O3&gt;O7)+--(O3&gt;O10)+--(O3&gt;O5)+--(O3&gt;O12)+--(O3&gt;O9)+0.5*--(O3=O8)+0.5*--(O3=O11)+0.5*--(O3=O4)+0.5*--(O3=O6)+0.5*--(O3=O7)+0.5*--(O3=O10)+0.5*--(O3=O5)+0.5*--(O3=O12)+0.5*--(O3=O9)</f>
        <v>7</v>
      </c>
      <c r="P15" s="10">
        <f>1+--(P3&gt;P8)+--(P3&gt;P11)+--(P3&gt;P4)+--(P3&gt;P6)+--(P3&gt;P7)+--(P3&gt;P10)+--(P3&gt;P5)+--(P3&gt;P12)+--(P3&gt;P9)+0.5*--(P3=P8)+0.5*--(P3=P11)+0.5*--(P3=P4)+0.5*--(P3=P6)+0.5*--(P3=P7)+0.5*--(P3=P10)+0.5*--(P3=P5)+0.5*--(P3=P12)+0.5*--(P3=P9)</f>
        <v>10</v>
      </c>
      <c r="Q15" s="9">
        <f t="shared" ref="Q15:Q24" si="0">SUM(J15:P15,G15,D15,E15)</f>
        <v>76</v>
      </c>
    </row>
    <row r="16" spans="1:18" x14ac:dyDescent="0.25">
      <c r="A16" s="126" t="s">
        <v>21</v>
      </c>
      <c r="D16" s="10">
        <f>1+--(D4&gt;D5)+--(D4&gt;D6)+--(D4&gt;D10)+--(D4&gt;D12)+--(D4&gt;D8)+--(D4&gt;D9)+--(D4&gt;D3)+--(D4&gt;D7)+--(D4&gt;D11)+0.5*--(D4=D5)+0.5*--(D4=D6)+0.5*--(D4=D10)+0.5*--(D4=D12)+0.5*--(D4=D8)+0.5*--(D4=D9)+0.5*--(D4=D3)+0.5*--(D4=D7)+0.5*--(D4=D11)</f>
        <v>3</v>
      </c>
      <c r="E16" s="10">
        <f>1+--(E4&gt;E5)+--(E4&gt;E6)+--(E4&gt;E10)+--(E4&gt;E12)+--(E4&gt;E8)+--(E4&gt;E9)+--(E4&gt;E3)+--(E4&gt;E7)+--(E4&gt;E11)+0.5*--(E4=E5)+0.5*--(E4=E6)+0.5*--(E4=E10)+0.5*--(E4=E12)+0.5*--(E4=E8)+0.5*--(E4=E9)+0.5*--(E4=E3)+0.5*--(E4=E7)+0.5*--(E4=E11)</f>
        <v>10</v>
      </c>
      <c r="G16" s="10">
        <f>1+--(G4&gt;G5)+--(G4&gt;G6)+--(G4&gt;G10)+--(G4&gt;G12)+--(G4&gt;G8)+--(G4&gt;G9)+--(G4&gt;G3)+--(G4&gt;G7)+--(G4&gt;G11)+0.5*--(G4=G5)+0.5*--(G4=G6)+0.5*--(G4=G10)+0.5*--(G4=G12)+0.5*--(G4=G8)+0.5*--(G4=G9)+0.5*--(G4=G3)+0.5*--(G4=G7)+0.5*--(G4=G11)</f>
        <v>9</v>
      </c>
      <c r="J16" s="10">
        <f>1+--(J4&gt;J5)+--(J4&gt;J6)+--(J4&gt;J10)+--(J4&gt;J12)+--(J4&gt;J8)+--(J4&gt;J9)+--(J4&gt;J3)+--(J4&gt;J7)+--(J4&gt;J11)+0.5*--(J4=J5)+0.5*--(J4=J6)+0.5*--(J4=J10)+0.5*--(J4=J12)+0.5*--(J4=J8)+0.5*--(J4=J9)+0.5*--(J4=J3)+0.5*--(J4=J7)+0.5*--(J4=J11)</f>
        <v>5</v>
      </c>
      <c r="K16" s="10">
        <f>1+--(K4&gt;K5)+--(K4&gt;K6)+--(K4&gt;K10)+--(K4&gt;K12)+--(K4&gt;K8)+--(K4&gt;K9)+--(K4&gt;K3)+--(K4&gt;K7)+--(K4&gt;K11)+0.5*--(K4=K5)+0.5*--(K4=K6)+0.5*--(K4=K10)+0.5*--(K4=K12)+0.5*--(K4=K8)+0.5*--(K4=K9)+0.5*--(K4=K3)+0.5*--(K4=K7)+0.5*--(K4=K11)</f>
        <v>8</v>
      </c>
      <c r="L16" s="10">
        <f>1+--(L4&gt;L5)+--(L4&gt;L6)+--(L4&gt;L10)+--(L4&gt;L12)+--(L4&gt;L8)+--(L4&gt;L9)+--(L4&gt;L3)+--(L4&gt;L7)+--(L4&gt;L11)+0.5*--(L4=L5)+0.5*--(L4=L6)+0.5*--(L4=L10)+0.5*--(L4=L12)+0.5*--(L4=L8)+0.5*--(L4=L9)+0.5*--(L4=L3)+0.5*--(L4=L7)+0.5*--(L4=L11)</f>
        <v>7</v>
      </c>
      <c r="M16" s="10">
        <f>1+--(M4&gt;M5)+--(M4&gt;M6)+--(M4&gt;M10)+--(M4&gt;M12)+--(M4&gt;M8)+--(M4&gt;M9)+--(M4&gt;M3)+--(M4&gt;M7)+--(M4&gt;M11)+0.5*--(M4=M5)+0.5*--(M4=M6)+0.5*--(M4=M10)+0.5*--(M4=M12)+0.5*--(M4=M8)+0.5*--(M4=M9)+0.5*--(M4=M3)+0.5*--(M4=M7)+0.5*--(M4=M11)</f>
        <v>9</v>
      </c>
      <c r="N16" s="10">
        <f>1+--(N4&lt;N5)+--(N4&lt;N6)+--(N4&lt;N10)+--(N4&lt;N12)+--(N4&lt;N8)+--(N4&lt;N9)+--(N4&lt;N3)+--(N4&lt;N7)+--(N4&lt;N11)+0.5*--(N4=N5)+0.5*--(N4=N6)+0.5*--(N4=N10)+0.5*--(N4=N12)+0.5*--(N4=N8)+0.5*--(N4=N9)+0.5*--(N4=N3)+0.5*--(N4=N7)+0.5*--(N4=N11)</f>
        <v>4</v>
      </c>
      <c r="O16" s="10">
        <f>1+--(O4&gt;O5)+--(O4&gt;O6)+--(O4&gt;O10)+--(O4&gt;O12)+--(O4&gt;O8)+--(O4&gt;O9)+--(O4&gt;O3)+--(O4&gt;O7)+--(O4&gt;O11)+0.5*--(O4=O5)+0.5*--(O4=O6)+0.5*--(O4=O10)+0.5*--(O4=O12)+0.5*--(O4=O8)+0.5*--(O4=O9)+0.5*--(O4=O3)+0.5*--(O4=O7)+0.5*--(O4=O11)</f>
        <v>9</v>
      </c>
      <c r="P16" s="10">
        <f>1+--(P4&gt;P5)+--(P4&gt;P6)+--(P4&gt;P10)+--(P4&gt;P12)+--(P4&gt;P8)+--(P4&gt;P9)+--(P4&gt;P3)+--(P4&gt;P7)+--(P4&gt;P11)+0.5*--(P4=P5)+0.5*--(P4=P6)+0.5*--(P4=P10)+0.5*--(P4=P12)+0.5*--(P4=P8)+0.5*--(P4=P9)+0.5*--(P4=P3)+0.5*--(P4=P7)+0.5*--(P4=P11)</f>
        <v>8</v>
      </c>
      <c r="Q16" s="9">
        <f t="shared" si="0"/>
        <v>72</v>
      </c>
    </row>
    <row r="17" spans="1:17" x14ac:dyDescent="0.25">
      <c r="A17" s="126" t="s">
        <v>26</v>
      </c>
      <c r="B17" s="6"/>
      <c r="C17" s="6"/>
      <c r="D17" s="10">
        <f>1+--(D5&gt;D7)+--(D5&gt;D9)+--(D5&gt;D3)+--(D5&gt;D11)+--(D5&gt;D12)+--(D5&gt;D4)+--(D5&gt;D8)+--(D5&gt;D6)+--(D5&gt;D10)+0.5*--(D5=D7)+0.5*--(D5=D9)+0.5*--(D5=D3)+0.5*--(D5=D11)+0.5*--(D5=D12)+0.5*--(D5=D4)+0.5*--(D5=D8)+0.5*--(D5=D6)+0.5*--(D5=D10)</f>
        <v>6</v>
      </c>
      <c r="E17" s="10">
        <f>1+--(E5&gt;E7)+--(E5&gt;E9)+--(E5&gt;E3)+--(E5&gt;E11)+--(E5&gt;E12)+--(E5&gt;E4)+--(E5&gt;E8)+--(E5&gt;E6)+--(E5&gt;E10)+0.5*--(E5=E7)+0.5*--(E5=E9)+0.5*--(E5=E3)+0.5*--(E5=E11)+0.5*--(E5=E12)+0.5*--(E5=E4)+0.5*--(E5=E8)+0.5*--(E5=E6)+0.5*--(E5=E10)</f>
        <v>9</v>
      </c>
      <c r="F17" s="6"/>
      <c r="G17" s="10">
        <f>1+--(G5&gt;G7)+--(G5&gt;G9)+--(G5&gt;G3)+--(G5&gt;G11)+--(G5&gt;G12)+--(G5&gt;G4)+--(G5&gt;G8)+--(G5&gt;G6)+--(G5&gt;G10)+0.5*--(G5=G7)+0.5*--(G5=G9)+0.5*--(G5=G3)+0.5*--(G5=G11)+0.5*--(G5=G12)+0.5*--(G5=G4)+0.5*--(G5=G8)+0.5*--(G5=G6)+0.5*--(G5=G10)</f>
        <v>7</v>
      </c>
      <c r="H17" s="6"/>
      <c r="I17" s="6"/>
      <c r="J17" s="10">
        <f>1+--(J5&gt;J7)+--(J5&gt;J9)+--(J5&gt;J3)+--(J5&gt;J11)+--(J5&gt;J12)+--(J5&gt;J4)+--(J5&gt;J8)+--(J5&gt;J6)+--(J5&gt;J10)+0.5*--(J5=J7)+0.5*--(J5=J9)+0.5*--(J5=J3)+0.5*--(J5=J11)+0.5*--(J5=J12)+0.5*--(J5=J4)+0.5*--(J5=J8)+0.5*--(J5=J6)+0.5*--(J5=J10)</f>
        <v>8</v>
      </c>
      <c r="K17" s="10">
        <f>1+--(K5&gt;K7)+--(K5&gt;K9)+--(K5&gt;K3)+--(K5&gt;K11)+--(K5&gt;K12)+--(K5&gt;K4)+--(K5&gt;K8)+--(K5&gt;K6)+--(K5&gt;K10)+0.5*--(K5=K7)+0.5*--(K5=K9)+0.5*--(K5=K3)+0.5*--(K5=K11)+0.5*--(K5=K12)+0.5*--(K5=K4)+0.5*--(K5=K8)+0.5*--(K5=K6)+0.5*--(K5=K10)</f>
        <v>5</v>
      </c>
      <c r="L17" s="10">
        <f>1+--(L5&gt;L7)+--(L5&gt;L9)+--(L5&gt;L3)+--(L5&gt;L11)+--(L5&gt;L12)+--(L5&gt;L4)+--(L5&gt;L8)+--(L5&gt;L6)+--(L5&gt;L10)+0.5*--(L5=L7)+0.5*--(L5=L9)+0.5*--(L5=L3)+0.5*--(L5=L11)+0.5*--(L5=L12)+0.5*--(L5=L4)+0.5*--(L5=L8)+0.5*--(L5=L6)+0.5*--(L5=L10)</f>
        <v>2</v>
      </c>
      <c r="M17" s="10">
        <f>1+--(M5&gt;M7)+--(M5&gt;M9)+--(M5&gt;M3)+--(M5&gt;M11)+--(M5&gt;M12)+--(M5&gt;M4)+--(M5&gt;M8)+--(M5&gt;M6)+--(M5&gt;M10)+0.5*--(M5=M7)+0.5*--(M5=M9)+0.5*--(M5=M3)+0.5*--(M5=M11)+0.5*--(M5=M12)+0.5*--(M5=M4)+0.5*--(M5=M8)+0.5*--(M5=M6)+0.5*--(M5=M10)</f>
        <v>5</v>
      </c>
      <c r="N17" s="10">
        <f>1+--(N5&lt;N7)+--(N5&lt;N9)+--(N5&lt;N3)+--(N5&lt;N11)+--(N5&lt;N12)+--(N5&lt;N4)+--(N5&lt;N8)+--(N5&lt;N6)+--(N5&lt;N10)+0.5*--(N5=N7)+0.5*--(N5=N9)+0.5*--(N5=N3)+0.5*--(N5=N11)+0.5*--(N5=N12)+0.5*--(N5=N4)+0.5*--(N5=N8)+0.5*--(N5=N6)+0.5*--(N5=N10)</f>
        <v>9</v>
      </c>
      <c r="O17" s="10">
        <f>1+--(O5&gt;O7)+--(O5&gt;O9)+--(O5&gt;O3)+--(O5&gt;O11)+--(O5&gt;O12)+--(O5&gt;O4)+--(O5&gt;O8)+--(O5&gt;O6)+--(O5&gt;O10)+0.5*--(O5=O7)+0.5*--(O5=O9)+0.5*--(O5=O3)+0.5*--(O5=O11)+0.5*--(O5=O12)+0.5*--(O5=O4)+0.5*--(O5=O8)+0.5*--(O5=O6)+0.5*--(O5=O10)</f>
        <v>8</v>
      </c>
      <c r="P17" s="10">
        <f>1+--(P5&gt;P7)+--(P5&gt;P9)+--(P5&gt;P3)+--(P5&gt;P11)+--(P5&gt;P12)+--(P5&gt;P4)+--(P5&gt;P8)+--(P5&gt;P6)+--(P5&gt;P10)+0.5*--(P5=P7)+0.5*--(P5=P9)+0.5*--(P5=P3)+0.5*--(P5=P11)+0.5*--(P5=P12)+0.5*--(P5=P4)+0.5*--(P5=P8)+0.5*--(P5=P6)+0.5*--(P5=P10)</f>
        <v>5</v>
      </c>
      <c r="Q17" s="9">
        <f t="shared" si="0"/>
        <v>64</v>
      </c>
    </row>
    <row r="18" spans="1:17" x14ac:dyDescent="0.25">
      <c r="A18" s="126" t="s">
        <v>28</v>
      </c>
      <c r="B18" s="6"/>
      <c r="C18" s="6"/>
      <c r="D18" s="10">
        <f>1+--(D6&gt;D9)+--(D6&gt;D5)+--(D6&gt;D12)+--(D6&gt;D3)+--(D6&gt;D10)+--(D6&gt;D7)+--(D6&gt;D11)+--(D6&gt;D4)+--(D6&gt;D8)+0.5*--(D6=D9)+0.5*--(D6=D5)+0.5*--(D6=D12)+0.5*--(D6=D3)+0.5*--(D6=D10)+0.5*--(D6=D7)+0.5*--(D6=D11)+0.5*--(D6=D4)+0.5*--(D6=D8)</f>
        <v>5</v>
      </c>
      <c r="E18" s="10">
        <f>1+--(E6&gt;E9)+--(E6&gt;E5)+--(E6&gt;E12)+--(E6&gt;E3)+--(E6&gt;E10)+--(E6&gt;E7)+--(E6&gt;E11)+--(E6&gt;E4)+--(E6&gt;E8)+0.5*--(E6=E9)+0.5*--(E6=E5)+0.5*--(E6=E12)+0.5*--(E6=E3)+0.5*--(E6=E10)+0.5*--(E6=E7)+0.5*--(E6=E11)+0.5*--(E6=E4)+0.5*--(E6=E8)</f>
        <v>8</v>
      </c>
      <c r="F18" s="6"/>
      <c r="G18" s="10">
        <f>1+--(G6&gt;G9)+--(G6&gt;G5)+--(G6&gt;G12)+--(G6&gt;G3)+--(G6&gt;G10)+--(G6&gt;G7)+--(G6&gt;G11)+--(G6&gt;G4)+--(G6&gt;G8)+0.5*--(G6=G9)+0.5*--(G6=G5)+0.5*--(G6=G12)+0.5*--(G6=G3)+0.5*--(G6=G10)+0.5*--(G6=G7)+0.5*--(G6=G11)+0.5*--(G6=G4)+0.5*--(G6=G8)</f>
        <v>5</v>
      </c>
      <c r="H18" s="6"/>
      <c r="I18" s="6"/>
      <c r="J18" s="10">
        <f>1+--(J6&gt;J9)+--(J6&gt;J5)+--(J6&gt;J12)+--(J6&gt;J3)+--(J6&gt;J10)+--(J6&gt;J7)+--(J6&gt;J11)+--(J6&gt;J4)+--(J6&gt;J8)+0.5*--(J6=J9)+0.5*--(J6=J5)+0.5*--(J6=J12)+0.5*--(J6=J3)+0.5*--(J6=J10)+0.5*--(J6=J7)+0.5*--(J6=J11)+0.5*--(J6=J4)+0.5*--(J6=J8)</f>
        <v>10</v>
      </c>
      <c r="K18" s="10">
        <f>1+--(K6&gt;K9)+--(K6&gt;K5)+--(K6&gt;K12)+--(K6&gt;K3)+--(K6&gt;K10)+--(K6&gt;K7)+--(K6&gt;K11)+--(K6&gt;K4)+--(K6&gt;K8)+0.5*--(K6=K9)+0.5*--(K6=K5)+0.5*--(K6=K12)+0.5*--(K6=K3)+0.5*--(K6=K10)+0.5*--(K6=K7)+0.5*--(K6=K11)+0.5*--(K6=K4)+0.5*--(K6=K8)</f>
        <v>7</v>
      </c>
      <c r="L18" s="10">
        <f>1+--(L6&gt;L9)+--(L6&gt;L5)+--(L6&gt;L12)+--(L6&gt;L3)+--(L6&gt;L10)+--(L6&gt;L7)+--(L6&gt;L11)+--(L6&gt;L4)+--(L6&gt;L8)+0.5*--(L6=L9)+0.5*--(L6=L5)+0.5*--(L6=L12)+0.5*--(L6=L3)+0.5*--(L6=L10)+0.5*--(L6=L7)+0.5*--(L6=L11)+0.5*--(L6=L4)+0.5*--(L6=L8)</f>
        <v>5</v>
      </c>
      <c r="M18" s="10">
        <f>1+--(M6&gt;M9)+--(M6&gt;M5)+--(M6&gt;M12)+--(M6&gt;M3)+--(M6&gt;M10)+--(M6&gt;M7)+--(M6&gt;M11)+--(M6&gt;M4)+--(M6&gt;M8)+0.5*--(M6=M9)+0.5*--(M6=M5)+0.5*--(M6=M12)+0.5*--(M6=M3)+0.5*--(M6=M10)+0.5*--(M6=M7)+0.5*--(M6=M11)+0.5*--(M6=M4)+0.5*--(M6=M8)</f>
        <v>4</v>
      </c>
      <c r="N18" s="10">
        <f>1+--(N6&lt;N9)+--(N6&lt;N5)+--(N6&lt;N12)+--(N6&lt;N3)+--(N6&lt;N10)+--(N6&lt;N7)+--(N6&lt;N11)+--(N6&lt;N4)+--(N6&lt;N8)+0.5*--(N6=N9)+0.5*--(N6=N5)+0.5*--(N6=N12)+0.5*--(N6=N3)+0.5*--(N6=N10)+0.5*--(N6=N7)+0.5*--(N6=N11)+0.5*--(N6=N4)+0.5*--(N6=N8)</f>
        <v>6</v>
      </c>
      <c r="O18" s="10">
        <f>1+--(O6&gt;O9)+--(O6&gt;O5)+--(O6&gt;O12)+--(O6&gt;O3)+--(O6&gt;O10)+--(O6&gt;O7)+--(O6&gt;O11)+--(O6&gt;O4)+--(O6&gt;O8)+0.5*--(O6=O9)+0.5*--(O6=O5)+0.5*--(O6=O12)+0.5*--(O6=O3)+0.5*--(O6=O10)+0.5*--(O6=O7)+0.5*--(O6=O11)+0.5*--(O6=O4)+0.5*--(O6=O8)</f>
        <v>6</v>
      </c>
      <c r="P18" s="10">
        <f>1+--(P6&gt;P9)+--(P6&gt;P5)+--(P6&gt;P12)+--(P6&gt;P3)+--(P6&gt;P10)+--(P6&gt;P7)+--(P6&gt;P11)+--(P6&gt;P4)+--(P6&gt;P8)+0.5*--(P6=P9)+0.5*--(P6=P5)+0.5*--(P6=P12)+0.5*--(P6=P3)+0.5*--(P6=P10)+0.5*--(P6=P7)+0.5*--(P6=P11)+0.5*--(P6=P4)+0.5*--(P6=P8)</f>
        <v>7</v>
      </c>
      <c r="Q18" s="9">
        <f t="shared" si="0"/>
        <v>63</v>
      </c>
    </row>
    <row r="19" spans="1:17" x14ac:dyDescent="0.25">
      <c r="A19" s="125" t="s">
        <v>23</v>
      </c>
      <c r="D19" s="10">
        <f>1+--(D7&gt;D6)+--(D7&gt;D4)+--(D7&gt;D8)+--(D7&gt;D10)+--(D7&gt;D11)+--(D7&gt;D5)+--(D7&gt;D12)+--(D7&gt;D9)+--(D7&gt;D3)+0.5*--(D7=D6)+0.5*--(D7=D4)+0.5*--(D7=D8)+0.5*--(D7=D10)+0.5*--(D7=D11)+0.5*--(D7=D5)+0.5*--(D7=D12)+0.5*--(D7=D9)+0.5*--(D7=D3)</f>
        <v>8</v>
      </c>
      <c r="E19" s="10">
        <f>1+--(E7&gt;E6)+--(E7&gt;E4)+--(E7&gt;E8)+--(E7&gt;E10)+--(E7&gt;E11)+--(E7&gt;E5)+--(E7&gt;E12)+--(E7&gt;E9)+--(E7&gt;E3)+0.5*--(E7=E6)+0.5*--(E7=E4)+0.5*--(E7=E8)+0.5*--(E7=E10)+0.5*--(E7=E11)+0.5*--(E7=E5)+0.5*--(E7=E12)+0.5*--(E7=E9)+0.5*--(E7=E3)</f>
        <v>5</v>
      </c>
      <c r="G19" s="10">
        <f>1+--(G7&gt;G6)+--(G7&gt;G4)+--(G7&gt;G8)+--(G7&gt;G10)+--(G7&gt;G11)+--(G7&gt;G5)+--(G7&gt;G12)+--(G7&gt;G9)+--(G7&gt;G3)+0.5*--(G7=G6)+0.5*--(G7=G4)+0.5*--(G7=G8)+0.5*--(G7=G10)+0.5*--(G7=G11)+0.5*--(G7=G5)+0.5*--(G7=G12)+0.5*--(G7=G9)+0.5*--(G7=G3)</f>
        <v>8</v>
      </c>
      <c r="J19" s="10">
        <f>1+--(J7&gt;J6)+--(J7&gt;J4)+--(J7&gt;J8)+--(J7&gt;J10)+--(J7&gt;J11)+--(J7&gt;J5)+--(J7&gt;J12)+--(J7&gt;J9)+--(J7&gt;J3)+0.5*--(J7=J6)+0.5*--(J7=J4)+0.5*--(J7=J8)+0.5*--(J7=J10)+0.5*--(J7=J11)+0.5*--(J7=J5)+0.5*--(J7=J12)+0.5*--(J7=J9)+0.5*--(J7=J3)</f>
        <v>4</v>
      </c>
      <c r="K19" s="10">
        <f>1+--(K7&gt;K6)+--(K7&gt;K4)+--(K7&gt;K8)+--(K7&gt;K10)+--(K7&gt;K11)+--(K7&gt;K5)+--(K7&gt;K12)+--(K7&gt;K9)+--(K7&gt;K3)+0.5*--(K7=K6)+0.5*--(K7=K4)+0.5*--(K7=K8)+0.5*--(K7=K10)+0.5*--(K7=K11)+0.5*--(K7=K5)+0.5*--(K7=K12)+0.5*--(K7=K9)+0.5*--(K7=K3)</f>
        <v>9</v>
      </c>
      <c r="L19" s="10">
        <f>1+--(L7&gt;L6)+--(L7&gt;L4)+--(L7&gt;L8)+--(L7&gt;L10)+--(L7&gt;L11)+--(L7&gt;L5)+--(L7&gt;L12)+--(L7&gt;L9)+--(L7&gt;L3)+0.5*--(L7=L6)+0.5*--(L7=L4)+0.5*--(L7=L8)+0.5*--(L7=L10)+0.5*--(L7=L11)+0.5*--(L7=L5)+0.5*--(L7=L12)+0.5*--(L7=L9)+0.5*--(L7=L3)</f>
        <v>6</v>
      </c>
      <c r="M19" s="10">
        <f>1+--(M7&gt;M6)+--(M7&gt;M4)+--(M7&gt;M8)+--(M7&gt;M10)+--(M7&gt;M11)+--(M7&gt;M5)+--(M7&gt;M12)+--(M7&gt;M9)+--(M7&gt;M3)+0.5*--(M7=M6)+0.5*--(M7=M4)+0.5*--(M7=M8)+0.5*--(M7=M10)+0.5*--(M7=M11)+0.5*--(M7=M5)+0.5*--(M7=M12)+0.5*--(M7=M9)+0.5*--(M7=M3)</f>
        <v>3</v>
      </c>
      <c r="N19" s="10">
        <f>1+--(N7&lt;N6)+--(N7&lt;N4)+--(N7&lt;N8)+--(N7&lt;N10)+--(N7&lt;N11)+--(N7&lt;N5)+--(N7&lt;N12)+--(N7&lt;N9)+--(N7&lt;N3)+0.5*--(N7=N6)+0.5*--(N7=N4)+0.5*--(N7=N8)+0.5*--(N7=N10)+0.5*--(N7=N11)+0.5*--(N7=N5)+0.5*--(N7=N12)+0.5*--(N7=N9)+0.5*--(N7=N3)</f>
        <v>7</v>
      </c>
      <c r="O19" s="10">
        <f>1+--(O7&gt;O6)+--(O7&gt;O4)+--(O7&gt;O8)+--(O7&gt;O10)+--(O7&gt;O11)+--(O7&gt;O5)+--(O7&gt;O12)+--(O7&gt;O9)+--(O7&gt;O3)+0.5*--(O7=O6)+0.5*--(O7=O4)+0.5*--(O7=O8)+0.5*--(O7=O10)+0.5*--(O7=O11)+0.5*--(O7=O5)+0.5*--(O7=O12)+0.5*--(O7=O9)+0.5*--(O7=O3)</f>
        <v>10</v>
      </c>
      <c r="P19" s="10">
        <f>1+--(P7&gt;P6)+--(P7&gt;P4)+--(P7&gt;P8)+--(P7&gt;P10)+--(P7&gt;P11)+--(P7&gt;P5)+--(P7&gt;P12)+--(P7&gt;P9)+--(P7&gt;P3)+0.5*--(P7=P6)+0.5*--(P7=P4)+0.5*--(P7=P8)+0.5*--(P7=P10)+0.5*--(P7=P11)+0.5*--(P7=P5)+0.5*--(P7=P12)+0.5*--(P7=P9)+0.5*--(P7=P3)</f>
        <v>3</v>
      </c>
      <c r="Q19" s="9">
        <f t="shared" si="0"/>
        <v>63</v>
      </c>
    </row>
    <row r="20" spans="1:17" x14ac:dyDescent="0.25">
      <c r="A20" s="126" t="s">
        <v>145</v>
      </c>
      <c r="B20" s="6"/>
      <c r="C20" s="6"/>
      <c r="D20" s="10">
        <f>1+--(D8&gt;D12)+--(D8&gt;D10)+--(D8&gt;D5)+--(D8&gt;D9)+--(D8&gt;D6)+--(D8&gt;D3)+--(D8&gt;D7)+--(D8&gt;D11)+--(D8&gt;D4)+0.5*--(D8=D12)+0.5*--(D8=D10)+0.5*--(D8=D5)+0.5*--(D8=D9)+0.5*--(D8=D6)+0.5*--(D8=D3)+0.5*--(D8=D7)+0.5*--(D8=D11)+0.5*--(D8=D4)</f>
        <v>10</v>
      </c>
      <c r="E20" s="10">
        <f>1+--(E8&gt;E12)+--(E8&gt;E10)+--(E8&gt;E5)+--(E8&gt;E9)+--(E8&gt;E6)+--(E8&gt;E3)+--(E8&gt;E7)+--(E8&gt;E11)+--(E8&gt;E4)+0.5*--(E8=E12)+0.5*--(E8=E10)+0.5*--(E8=E5)+0.5*--(E8=E9)+0.5*--(E8=E6)+0.5*--(E8=E3)+0.5*--(E8=E7)+0.5*--(E8=E11)+0.5*--(E8=E4)</f>
        <v>2</v>
      </c>
      <c r="F20" s="6"/>
      <c r="G20" s="10">
        <f>1+--(G8&gt;G12)+--(G8&gt;G10)+--(G8&gt;G5)+--(G8&gt;G9)+--(G8&gt;G6)+--(G8&gt;G3)+--(G8&gt;G7)+--(G8&gt;G11)+--(G8&gt;G4)+0.5*--(G8=G12)+0.5*--(G8=G10)+0.5*--(G8=G5)+0.5*--(G8=G9)+0.5*--(G8=G6)+0.5*--(G8=G3)+0.5*--(G8=G7)+0.5*--(G8=G11)+0.5*--(G8=G4)</f>
        <v>10</v>
      </c>
      <c r="H20" s="6"/>
      <c r="I20" s="6"/>
      <c r="J20" s="10">
        <f>1+--(J8&gt;J12)+--(J8&gt;J10)+--(J8&gt;J5)+--(J8&gt;J9)+--(J8&gt;J6)+--(J8&gt;J3)+--(J8&gt;J7)+--(J8&gt;J11)+--(J8&gt;J4)+0.5*--(J8=J12)+0.5*--(J8=J10)+0.5*--(J8=J5)+0.5*--(J8=J9)+0.5*--(J8=J6)+0.5*--(J8=J3)+0.5*--(J8=J7)+0.5*--(J8=J11)+0.5*--(J8=J4)</f>
        <v>7</v>
      </c>
      <c r="K20" s="10">
        <f>1+--(K8&gt;K12)+--(K8&gt;K10)+--(K8&gt;K5)+--(K8&gt;K9)+--(K8&gt;K6)+--(K8&gt;K3)+--(K8&gt;K7)+--(K8&gt;K11)+--(K8&gt;K4)+0.5*--(K8=K12)+0.5*--(K8=K10)+0.5*--(K8=K5)+0.5*--(K8=K9)+0.5*--(K8=K6)+0.5*--(K8=K3)+0.5*--(K8=K7)+0.5*--(K8=K11)+0.5*--(K8=K4)</f>
        <v>3</v>
      </c>
      <c r="L20" s="10">
        <f>1+--(L8&gt;L12)+--(L8&gt;L10)+--(L8&gt;L5)+--(L8&gt;L9)+--(L8&gt;L6)+--(L8&gt;L3)+--(L8&gt;L7)+--(L8&gt;L11)+--(L8&gt;L4)+0.5*--(L8=L12)+0.5*--(L8=L10)+0.5*--(L8=L5)+0.5*--(L8=L9)+0.5*--(L8=L6)+0.5*--(L8=L3)+0.5*--(L8=L7)+0.5*--(L8=L11)+0.5*--(L8=L4)</f>
        <v>4</v>
      </c>
      <c r="M20" s="10">
        <f>1+--(M8&gt;M12)+--(M8&gt;M10)+--(M8&gt;M5)+--(M8&gt;M9)+--(M8&gt;M6)+--(M8&gt;M3)+--(M8&gt;M7)+--(M8&gt;M11)+--(M8&gt;M4)+0.5*--(M8=M12)+0.5*--(M8=M10)+0.5*--(M8=M5)+0.5*--(M8=M9)+0.5*--(M8=M6)+0.5*--(M8=M3)+0.5*--(M8=M7)+0.5*--(M8=M11)+0.5*--(M8=M4)</f>
        <v>1</v>
      </c>
      <c r="N20" s="10">
        <f>1+--(N8&lt;N12)+--(N8&lt;N10)+--(N8&lt;N5)+--(N8&lt;N9)+--(N8&lt;N6)+--(N8&lt;N3)+--(N8&lt;N7)+--(N8&lt;N11)+--(N8&lt;N4)+0.5*--(N8=N12)+0.5*--(N8=N10)+0.5*--(N8=N5)+0.5*--(N8=N9)+0.5*--(N8=N6)+0.5*--(N8=N3)+0.5*--(N8=N7)+0.5*--(N8=N11)+0.5*--(N8=N4)</f>
        <v>8</v>
      </c>
      <c r="O20" s="10">
        <f>1+--(O8&gt;O12)+--(O8&gt;O10)+--(O8&gt;O5)+--(O8&gt;O9)+--(O8&gt;O6)+--(O8&gt;O3)+--(O8&gt;O7)+--(O8&gt;O11)+--(O8&gt;O4)+0.5*--(O8=O12)+0.5*--(O8=O10)+0.5*--(O8=O5)+0.5*--(O8=O9)+0.5*--(O8=O6)+0.5*--(O8=O3)+0.5*--(O8=O7)+0.5*--(O8=O11)+0.5*--(O8=O4)</f>
        <v>4.5</v>
      </c>
      <c r="P20" s="10">
        <f>1+--(P8&gt;P12)+--(P8&gt;P10)+--(P8&gt;P5)+--(P8&gt;P9)+--(P8&gt;P6)+--(P8&gt;P3)+--(P8&gt;P7)+--(P8&gt;P11)+--(P8&gt;P4)+0.5*--(P8=P12)+0.5*--(P8=P10)+0.5*--(P8=P5)+0.5*--(P8=P9)+0.5*--(P8=P6)+0.5*--(P8=P3)+0.5*--(P8=P7)+0.5*--(P8=P11)+0.5*--(P8=P4)</f>
        <v>1</v>
      </c>
      <c r="Q20" s="9">
        <f t="shared" si="0"/>
        <v>50.5</v>
      </c>
    </row>
    <row r="21" spans="1:17" x14ac:dyDescent="0.25">
      <c r="A21" s="125" t="s">
        <v>163</v>
      </c>
      <c r="D21" s="10">
        <f>1+--(D9&gt;D4)+--(D9&gt;D7)+--(D9&gt;D11)+--(D9&gt;D8)+--(D9&gt;D3)+--(D9&gt;D6)+--(D9&gt;D10)+--(D9&gt;D5)+--(D9&gt;D12)+0.5*--(D9=D4)+0.5*--(D9=D7)+0.5*--(D9=D11)+0.5*--(D9=D8)+0.5*--(D9=D3)+0.5*--(D9=D6)+0.5*--(D9=D10)+0.5*--(D9=D5)+0.5*--(D9=D12)</f>
        <v>1</v>
      </c>
      <c r="E21" s="10">
        <f>1+--(E9&gt;E4)+--(E9&gt;E7)+--(E9&gt;E11)+--(E9&gt;E8)+--(E9&gt;E3)+--(E9&gt;E6)+--(E9&gt;E10)+--(E9&gt;E5)+--(E9&gt;E12)+0.5*--(E9=E4)+0.5*--(E9=E7)+0.5*--(E9=E11)+0.5*--(E9=E8)+0.5*--(E9=E3)+0.5*--(E9=E6)+0.5*--(E9=E10)+0.5*--(E9=E5)+0.5*--(E9=E12)</f>
        <v>7</v>
      </c>
      <c r="G21" s="10">
        <f>1+--(G9&gt;G4)+--(G9&gt;G7)+--(G9&gt;G11)+--(G9&gt;G8)+--(G9&gt;G3)+--(G9&gt;G6)+--(G9&gt;G10)+--(G9&gt;G5)+--(G9&gt;G12)+0.5*--(G9=G4)+0.5*--(G9=G7)+0.5*--(G9=G11)+0.5*--(G9=G8)+0.5*--(G9=G3)+0.5*--(G9=G6)+0.5*--(G9=G10)+0.5*--(G9=G5)+0.5*--(G9=G12)</f>
        <v>4</v>
      </c>
      <c r="J21" s="10">
        <f>1+--(J9&gt;J4)+--(J9&gt;J7)+--(J9&gt;J11)+--(J9&gt;J8)+--(J9&gt;J3)+--(J9&gt;J6)+--(J9&gt;J10)+--(J9&gt;J5)+--(J9&gt;J12)+0.5*--(J9=J4)+0.5*--(J9=J7)+0.5*--(J9=J11)+0.5*--(J9=J8)+0.5*--(J9=J3)+0.5*--(J9=J6)+0.5*--(J9=J10)+0.5*--(J9=J5)+0.5*--(J9=J12)</f>
        <v>6</v>
      </c>
      <c r="K21" s="10">
        <f>1+--(K9&gt;K4)+--(K9&gt;K7)+--(K9&gt;K11)+--(K9&gt;K8)+--(K9&gt;K3)+--(K9&gt;K6)+--(K9&gt;K10)+--(K9&gt;K5)+--(K9&gt;K12)+0.5*--(K9=K4)+0.5*--(K9=K7)+0.5*--(K9=K11)+0.5*--(K9=K8)+0.5*--(K9=K3)+0.5*--(K9=K6)+0.5*--(K9=K10)+0.5*--(K9=K5)+0.5*--(K9=K12)</f>
        <v>6</v>
      </c>
      <c r="L21" s="10">
        <f>1+--(L9&gt;L4)+--(L9&gt;L7)+--(L9&gt;L11)+--(L9&gt;L8)+--(L9&gt;L3)+--(L9&gt;L6)+--(L9&gt;L10)+--(L9&gt;L5)+--(L9&gt;L12)+0.5*--(L9=L4)+0.5*--(L9=L7)+0.5*--(L9=L11)+0.5*--(L9=L8)+0.5*--(L9=L3)+0.5*--(L9=L6)+0.5*--(L9=L10)+0.5*--(L9=L5)+0.5*--(L9=L12)</f>
        <v>9</v>
      </c>
      <c r="M21" s="10">
        <f>1+--(M9&gt;M4)+--(M9&gt;M7)+--(M9&gt;M11)+--(M9&gt;M8)+--(M9&gt;M3)+--(M9&gt;M6)+--(M9&gt;M10)+--(M9&gt;M5)+--(M9&gt;M12)+0.5*--(M9=M4)+0.5*--(M9=M7)+0.5*--(M9=M11)+0.5*--(M9=M8)+0.5*--(M9=M3)+0.5*--(M9=M6)+0.5*--(M9=M10)+0.5*--(M9=M5)+0.5*--(M9=M12)</f>
        <v>6</v>
      </c>
      <c r="N21" s="10">
        <f>1+--(N9&lt;N4)+--(N9&lt;N7)+--(N9&lt;N11)+--(N9&lt;N8)+--(N9&lt;N3)+--(N9&lt;N6)+--(N9&lt;N10)+--(N9&lt;N5)+--(N9&lt;N12)+0.5*--(N9=N4)+0.5*--(N9=N7)+0.5*--(N9=N11)+0.5*--(N9=N8)+0.5*--(N9=N3)+0.5*--(N9=N6)+0.5*--(N9=N10)+0.5*--(N9=N5)+0.5*--(N9=N12)</f>
        <v>3</v>
      </c>
      <c r="O21" s="10">
        <f>1+--(O9&gt;O4)+--(O9&gt;O7)+--(O9&gt;O11)+--(O9&gt;O8)+--(O9&gt;O3)+--(O9&gt;O6)+--(O9&gt;O10)+--(O9&gt;O5)+--(O9&gt;O12)+0.5*--(O9=O4)+0.5*--(O9=O7)+0.5*--(O9=O11)+0.5*--(O9=O8)+0.5*--(O9=O3)+0.5*--(O9=O6)+0.5*--(O9=O10)+0.5*--(O9=O5)+0.5*--(O9=O12)</f>
        <v>4.5</v>
      </c>
      <c r="P21" s="10">
        <f>1+--(P9&gt;P4)+--(P9&gt;P7)+--(P9&gt;P11)+--(P9&gt;P8)+--(P9&gt;P3)+--(P9&gt;P6)+--(P9&gt;P10)+--(P9&gt;P5)+--(P9&gt;P12)+0.5*--(P9=P4)+0.5*--(P9=P7)+0.5*--(P9=P11)+0.5*--(P9=P8)+0.5*--(P9=P3)+0.5*--(P9=P6)+0.5*--(P9=P10)+0.5*--(P9=P5)+0.5*--(P9=P12)</f>
        <v>4</v>
      </c>
      <c r="Q21" s="9">
        <f t="shared" si="0"/>
        <v>50.5</v>
      </c>
    </row>
    <row r="22" spans="1:17" x14ac:dyDescent="0.25">
      <c r="A22" s="126" t="s">
        <v>27</v>
      </c>
      <c r="B22" s="6"/>
      <c r="C22" s="6"/>
      <c r="D22" s="10">
        <f>1+--(D10&gt;D3)+--(D10&gt;D12)+--(D10&gt;D9)+--(D10&gt;D7)+--(D10&gt;D5)+--(D10&gt;D11)+--(D10&gt;D4)+--(D10&gt;D8)+--(D10&gt;D6)+0.5*--(D10=D3)+0.5*--(D10=D12)+0.5*--(D10=D9)+0.5*--(D10=D7)+0.5*--(D10=D5)+0.5*--(D10=D11)+0.5*--(D10=D4)+0.5*--(D10=D8)+0.5*--(D10=D6)</f>
        <v>2</v>
      </c>
      <c r="E22" s="10">
        <f>1+--(E10&gt;E3)+--(E10&gt;E12)+--(E10&gt;E9)+--(E10&gt;E7)+--(E10&gt;E5)+--(E10&gt;E11)+--(E10&gt;E4)+--(E10&gt;E8)+--(E10&gt;E6)+0.5*--(E10=E3)+0.5*--(E10=E12)+0.5*--(E10=E9)+0.5*--(E10=E7)+0.5*--(E10=E5)+0.5*--(E10=E11)+0.5*--(E10=E4)+0.5*--(E10=E8)+0.5*--(E10=E6)</f>
        <v>4</v>
      </c>
      <c r="F22" s="6"/>
      <c r="G22" s="10">
        <f>1+--(G10&gt;G3)+--(G10&gt;G12)+--(G10&gt;G9)+--(G10&gt;G7)+--(G10&gt;G5)+--(G10&gt;G11)+--(G10&gt;G4)+--(G10&gt;G8)+--(G10&gt;G6)+0.5*--(G10=G3)+0.5*--(G10=G12)+0.5*--(G10=G9)+0.5*--(G10=G7)+0.5*--(G10=G5)+0.5*--(G10=G11)+0.5*--(G10=G4)+0.5*--(G10=G8)+0.5*--(G10=G6)</f>
        <v>3</v>
      </c>
      <c r="H22" s="6"/>
      <c r="I22" s="6"/>
      <c r="J22" s="10">
        <f>1+--(J10&gt;J3)+--(J10&gt;J12)+--(J10&gt;J9)+--(J10&gt;J7)+--(J10&gt;J5)+--(J10&gt;J11)+--(J10&gt;J4)+--(J10&gt;J8)+--(J10&gt;J6)+0.5*--(J10=J3)+0.5*--(J10=J12)+0.5*--(J10=J9)+0.5*--(J10=J7)+0.5*--(J10=J5)+0.5*--(J10=J11)+0.5*--(J10=J4)+0.5*--(J10=J8)+0.5*--(J10=J6)</f>
        <v>3</v>
      </c>
      <c r="K22" s="10">
        <f>1+--(K10&gt;K3)+--(K10&gt;K12)+--(K10&gt;K9)+--(K10&gt;K7)+--(K10&gt;K5)+--(K10&gt;K11)+--(K10&gt;K4)+--(K10&gt;K8)+--(K10&gt;K6)+0.5*--(K10=K3)+0.5*--(K10=K12)+0.5*--(K10=K9)+0.5*--(K10=K7)+0.5*--(K10=K5)+0.5*--(K10=K11)+0.5*--(K10=K4)+0.5*--(K10=K8)+0.5*--(K10=K6)</f>
        <v>4</v>
      </c>
      <c r="L22" s="10">
        <f>1+--(L10&gt;L3)+--(L10&gt;L12)+--(L10&gt;L9)+--(L10&gt;L7)+--(L10&gt;L5)+--(L10&gt;L11)+--(L10&gt;L4)+--(L10&gt;L8)+--(L10&gt;L6)+0.5*--(L10=L3)+0.5*--(L10=L12)+0.5*--(L10=L9)+0.5*--(L10=L7)+0.5*--(L10=L5)+0.5*--(L10=L11)+0.5*--(L10=L4)+0.5*--(L10=L8)+0.5*--(L10=L6)</f>
        <v>8</v>
      </c>
      <c r="M22" s="10">
        <f>1+--(M10&gt;M3)+--(M10&gt;M12)+--(M10&gt;M9)+--(M10&gt;M7)+--(M10&gt;M5)+--(M10&gt;M11)+--(M10&gt;M4)+--(M10&gt;M8)+--(M10&gt;M6)+0.5*--(M10=M3)+0.5*--(M10=M12)+0.5*--(M10=M9)+0.5*--(M10=M7)+0.5*--(M10=M5)+0.5*--(M10=M11)+0.5*--(M10=M4)+0.5*--(M10=M8)+0.5*--(M10=M6)</f>
        <v>8</v>
      </c>
      <c r="N22" s="10">
        <f>1+--(N10&lt;N3)+--(N10&lt;N12)+--(N10&lt;N9)+--(N10&lt;N7)+--(N10&lt;N5)+--(N10&lt;N11)+--(N10&lt;N4)+--(N10&lt;N8)+--(N10&lt;N6)+0.5*--(N10=N3)+0.5*--(N10=N12)+0.5*--(N10=N9)+0.5*--(N10=N7)+0.5*--(N10=N5)+0.5*--(N10=N11)+0.5*--(N10=N4)+0.5*--(N10=N8)+0.5*--(N10=N6)</f>
        <v>1</v>
      </c>
      <c r="O22" s="10">
        <f>1+--(O10&gt;O3)+--(O10&gt;O12)+--(O10&gt;O9)+--(O10&gt;O7)+--(O10&gt;O5)+--(O10&gt;O11)+--(O10&gt;O4)+--(O10&gt;O8)+--(O10&gt;O6)+0.5*--(O10=O3)+0.5*--(O10=O12)+0.5*--(O10=O9)+0.5*--(O10=O7)+0.5*--(O10=O5)+0.5*--(O10=O11)+0.5*--(O10=O4)+0.5*--(O10=O8)+0.5*--(O10=O6)</f>
        <v>3</v>
      </c>
      <c r="P22" s="10">
        <f>1+--(P10&gt;P3)+--(P10&gt;P12)+--(P10&gt;P9)+--(P10&gt;P7)+--(P10&gt;P5)+--(P10&gt;P11)+--(P10&gt;P4)+--(P10&gt;P8)+--(P10&gt;P6)+0.5*--(P10=P3)+0.5*--(P10=P12)+0.5*--(P10=P9)+0.5*--(P10=P7)+0.5*--(P10=P5)+0.5*--(P10=P11)+0.5*--(P10=P4)+0.5*--(P10=P8)+0.5*--(P10=P6)</f>
        <v>9</v>
      </c>
      <c r="Q22" s="9">
        <f t="shared" si="0"/>
        <v>45</v>
      </c>
    </row>
    <row r="23" spans="1:17" x14ac:dyDescent="0.25">
      <c r="A23" s="125" t="s">
        <v>24</v>
      </c>
      <c r="D23" s="10">
        <f>1+--(D11&gt;D10)+--(D11&gt;D8)+--(D11&gt;D6)+--(D11&gt;D5)+--(D11&gt;D4)+--(D11&gt;D12)+--(D11&gt;D9)+--(D11&gt;D3)+--(D11&gt;D7)+0.5*--(D11=D10)+0.5*--(D11=D8)+0.5*--(D11=D6)+0.5*--(D11=D5)+0.5*--(D11=D4)+0.5*--(D11=D12)+0.5*--(D11=D9)+0.5*--(D11=D3)+0.5*--(D11=D7)</f>
        <v>4</v>
      </c>
      <c r="E23" s="10">
        <f>1+--(E11&gt;E10)+--(E11&gt;E8)+--(E11&gt;E6)+--(E11&gt;E5)+--(E11&gt;E4)+--(E11&gt;E12)+--(E11&gt;E9)+--(E11&gt;E3)+--(E11&gt;E7)+0.5*--(E11=E10)+0.5*--(E11=E8)+0.5*--(E11=E6)+0.5*--(E11=E5)+0.5*--(E11=E4)+0.5*--(E11=E12)+0.5*--(E11=E9)+0.5*--(E11=E3)+0.5*--(E11=E7)</f>
        <v>6</v>
      </c>
      <c r="G23" s="10">
        <f>1+--(G11&gt;G10)+--(G11&gt;G8)+--(G11&gt;G6)+--(G11&gt;G5)+--(G11&gt;G4)+--(G11&gt;G12)+--(G11&gt;G9)+--(G11&gt;G3)+--(G11&gt;G7)+0.5*--(G11=G10)+0.5*--(G11=G8)+0.5*--(G11=G6)+0.5*--(G11=G5)+0.5*--(G11=G4)+0.5*--(G11=G12)+0.5*--(G11=G9)+0.5*--(G11=G3)+0.5*--(G11=G7)</f>
        <v>1</v>
      </c>
      <c r="J23" s="10">
        <f>1+--(J11&gt;J10)+--(J11&gt;J8)+--(J11&gt;J6)+--(J11&gt;J5)+--(J11&gt;J4)+--(J11&gt;J12)+--(J11&gt;J9)+--(J11&gt;J3)+--(J11&gt;J7)+0.5*--(J11=J10)+0.5*--(J11=J8)+0.5*--(J11=J6)+0.5*--(J11=J5)+0.5*--(J11=J4)+0.5*--(J11=J12)+0.5*--(J11=J9)+0.5*--(J11=J3)+0.5*--(J11=J7)</f>
        <v>2</v>
      </c>
      <c r="K23" s="10">
        <f>1+--(K11&gt;K10)+--(K11&gt;K8)+--(K11&gt;K6)+--(K11&gt;K5)+--(K11&gt;K4)+--(K11&gt;K12)+--(K11&gt;K9)+--(K11&gt;K3)+--(K11&gt;K7)+0.5*--(K11=K10)+0.5*--(K11=K8)+0.5*--(K11=K6)+0.5*--(K11=K5)+0.5*--(K11=K4)+0.5*--(K11=K12)+0.5*--(K11=K9)+0.5*--(K11=K3)+0.5*--(K11=K7)</f>
        <v>2</v>
      </c>
      <c r="L23" s="10">
        <f>1+--(L11&gt;L10)+--(L11&gt;L8)+--(L11&gt;L6)+--(L11&gt;L5)+--(L11&gt;L4)+--(L11&gt;L12)+--(L11&gt;L9)+--(L11&gt;L3)+--(L11&gt;L7)+0.5*--(L11=L10)+0.5*--(L11=L8)+0.5*--(L11=L6)+0.5*--(L11=L5)+0.5*--(L11=L4)+0.5*--(L11=L12)+0.5*--(L11=L9)+0.5*--(L11=L3)+0.5*--(L11=L7)</f>
        <v>3</v>
      </c>
      <c r="M23" s="10">
        <f>1+--(M11&gt;M10)+--(M11&gt;M8)+--(M11&gt;M6)+--(M11&gt;M5)+--(M11&gt;M4)+--(M11&gt;M12)+--(M11&gt;M9)+--(M11&gt;M3)+--(M11&gt;M7)+0.5*--(M11=M10)+0.5*--(M11=M8)+0.5*--(M11=M6)+0.5*--(M11=M5)+0.5*--(M11=M4)+0.5*--(M11=M12)+0.5*--(M11=M9)+0.5*--(M11=M3)+0.5*--(M11=M7)</f>
        <v>7</v>
      </c>
      <c r="N23" s="10">
        <f>1+--(N11&lt;N10)+--(N11&lt;N8)+--(N11&lt;N6)+--(N11&lt;N5)+--(N11&lt;N4)+--(N11&lt;N12)+--(N11&lt;N9)+--(N11&lt;N3)+--(N11&lt;N7)+0.5*--(N11=N10)+0.5*--(N11=N8)+0.5*--(N11=N6)+0.5*--(N11=N5)+0.5*--(N11=N4)+0.5*--(N11=N12)+0.5*--(N11=N9)+0.5*--(N11=N3)+0.5*--(N11=N7)</f>
        <v>5</v>
      </c>
      <c r="O23" s="10">
        <f>1+--(O11&gt;O10)+--(O11&gt;O8)+--(O11&gt;O6)+--(O11&gt;O5)+--(O11&gt;O4)+--(O11&gt;O12)+--(O11&gt;O9)+--(O11&gt;O3)+--(O11&gt;O7)+0.5*--(O11=O10)+0.5*--(O11=O8)+0.5*--(O11=O6)+0.5*--(O11=O5)+0.5*--(O11=O4)+0.5*--(O11=O12)+0.5*--(O11=O9)+0.5*--(O11=O3)+0.5*--(O11=O7)</f>
        <v>2</v>
      </c>
      <c r="P23" s="10">
        <f>1+--(P11&gt;P10)+--(P11&gt;P8)+--(P11&gt;P6)+--(P11&gt;P5)+--(P11&gt;P4)+--(P11&gt;P12)+--(P11&gt;P9)+--(P11&gt;P3)+--(P11&gt;P7)+0.5*--(P11=P10)+0.5*--(P11=P8)+0.5*--(P11=P6)+0.5*--(P11=P5)+0.5*--(P11=P4)+0.5*--(P11=P12)+0.5*--(P11=P9)+0.5*--(P11=P3)+0.5*--(P11=P7)</f>
        <v>6</v>
      </c>
      <c r="Q23" s="9">
        <f t="shared" si="0"/>
        <v>38</v>
      </c>
    </row>
    <row r="24" spans="1:17" x14ac:dyDescent="0.25">
      <c r="A24" s="125" t="s">
        <v>22</v>
      </c>
      <c r="B24" s="6"/>
      <c r="C24" s="6"/>
      <c r="D24" s="10">
        <f>1+--(D12&gt;D11)+--(D12&gt;D3)+--(D12&gt;D7)+--(D12&gt;D4)+--(D12&gt;D9)+--(D12&gt;D8)+--(D12&gt;D6)+--(D12&gt;D10)+--(D12&gt;D5)+0.5*--(D12=D11)+0.5*--(D12=D3)+0.5*--(D12=D7)+0.5*--(D12=D4)+0.5*--(D12=D9)+0.5*--(D12=D8)+0.5*--(D12=D6)+0.5*--(D12=D10)+0.5*--(D12=D5)</f>
        <v>7</v>
      </c>
      <c r="E24" s="10">
        <f>1+--(E12&gt;E11)+--(E12&gt;E3)+--(E12&gt;E7)+--(E12&gt;E4)+--(E12&gt;E9)+--(E12&gt;E8)+--(E12&gt;E6)+--(E12&gt;E10)+--(E12&gt;E5)+0.5*--(E12=E11)+0.5*--(E12=E3)+0.5*--(E12=E7)+0.5*--(E12=E4)+0.5*--(E12=E9)+0.5*--(E12=E8)+0.5*--(E12=E6)+0.5*--(E12=E10)+0.5*--(E12=E5)</f>
        <v>1</v>
      </c>
      <c r="F24" s="6"/>
      <c r="G24" s="10">
        <f>1+--(G12&gt;G11)+--(G12&gt;G3)+--(G12&gt;G7)+--(G12&gt;G4)+--(G12&gt;G9)+--(G12&gt;G8)+--(G12&gt;G6)+--(G12&gt;G10)+--(G12&gt;G5)+0.5*--(G12=G11)+0.5*--(G12=G3)+0.5*--(G12=G7)+0.5*--(G12=G4)+0.5*--(G12=G9)+0.5*--(G12=G8)+0.5*--(G12=G6)+0.5*--(G12=G10)+0.5*--(G12=G5)</f>
        <v>2</v>
      </c>
      <c r="H24" s="6"/>
      <c r="I24" s="6"/>
      <c r="J24" s="10">
        <f>1+--(J12&gt;J11)+--(J12&gt;J3)+--(J12&gt;J7)+--(J12&gt;J4)+--(J12&gt;J9)+--(J12&gt;J8)+--(J12&gt;J6)+--(J12&gt;J10)+--(J12&gt;J5)+0.5*--(J12=J11)+0.5*--(J12=J3)+0.5*--(J12=J7)+0.5*--(J12=J4)+0.5*--(J12=J9)+0.5*--(J12=J8)+0.5*--(J12=J6)+0.5*--(J12=J10)+0.5*--(J12=J5)</f>
        <v>1</v>
      </c>
      <c r="K24" s="10">
        <f>1+--(K12&gt;K11)+--(K12&gt;K3)+--(K12&gt;K7)+--(K12&gt;K4)+--(K12&gt;K9)+--(K12&gt;K8)+--(K12&gt;K6)+--(K12&gt;K10)+--(K12&gt;K5)+0.5*--(K12=K11)+0.5*--(K12=K3)+0.5*--(K12=K7)+0.5*--(K12=K4)+0.5*--(K12=K9)+0.5*--(K12=K8)+0.5*--(K12=K6)+0.5*--(K12=K10)+0.5*--(K12=K5)</f>
        <v>1</v>
      </c>
      <c r="L24" s="10">
        <f>1+--(L12&gt;L11)+--(L12&gt;L3)+--(L12&gt;L7)+--(L12&gt;L4)+--(L12&gt;L9)+--(L12&gt;L8)+--(L12&gt;L6)+--(L12&gt;L10)+--(L12&gt;L5)+0.5*--(L12=L11)+0.5*--(L12=L3)+0.5*--(L12=L7)+0.5*--(L12=L4)+0.5*--(L12=L9)+0.5*--(L12=L8)+0.5*--(L12=L6)+0.5*--(L12=L10)+0.5*--(L12=L5)</f>
        <v>1</v>
      </c>
      <c r="M24" s="10">
        <f>1+--(M12&gt;M11)+--(M12&gt;M3)+--(M12&gt;M7)+--(M12&gt;M4)+--(M12&gt;M9)+--(M12&gt;M8)+--(M12&gt;M6)+--(M12&gt;M10)+--(M12&gt;M5)+0.5*--(M12=M11)+0.5*--(M12=M3)+0.5*--(M12=M7)+0.5*--(M12=M4)+0.5*--(M12=M9)+0.5*--(M12=M8)+0.5*--(M12=M6)+0.5*--(M12=M10)+0.5*--(M12=M5)</f>
        <v>2</v>
      </c>
      <c r="N24" s="10">
        <f>1+--(N12&lt;N11)+--(N12&lt;N3)+--(N12&lt;N7)+--(N12&lt;N4)+--(N12&lt;N9)+--(N12&lt;N8)+--(N12&lt;N6)+--(N12&lt;N10)+--(N12&lt;N5)+0.5*--(N12=N11)+0.5*--(N12=N3)+0.5*--(N12=N7)+0.5*--(N12=N4)+0.5*--(N12=N9)+0.5*--(N12=N8)+0.5*--(N12=N6)+0.5*--(N12=N10)+0.5*--(N12=N5)</f>
        <v>10</v>
      </c>
      <c r="O24" s="10">
        <f>1+--(O12&gt;O11)+--(O12&gt;O3)+--(O12&gt;O7)+--(O12&gt;O4)+--(O12&gt;O9)+--(O12&gt;O8)+--(O12&gt;O6)+--(O12&gt;O10)+--(O12&gt;O5)+0.5*--(O12=O11)+0.5*--(O12=O3)+0.5*--(O12=O7)+0.5*--(O12=O4)+0.5*--(O12=O9)+0.5*--(O12=O8)+0.5*--(O12=O6)+0.5*--(O12=O10)+0.5*--(O12=O5)</f>
        <v>1</v>
      </c>
      <c r="P24" s="10">
        <f>1+--(P12&gt;P11)+--(P12&gt;P3)+--(P12&gt;P7)+--(P12&gt;P4)+--(P12&gt;P9)+--(P12&gt;P8)+--(P12&gt;P6)+--(P12&gt;P10)+--(P12&gt;P5)+0.5*--(P12=P11)+0.5*--(P12=P3)+0.5*--(P12=P7)+0.5*--(P12=P4)+0.5*--(P12=P9)+0.5*--(P12=P8)+0.5*--(P12=P6)+0.5*--(P12=P10)+0.5*--(P12=P5)</f>
        <v>2</v>
      </c>
      <c r="Q24" s="9">
        <f t="shared" si="0"/>
        <v>28</v>
      </c>
    </row>
  </sheetData>
  <mergeCells count="1">
    <mergeCell ref="A1:R1"/>
  </mergeCells>
  <hyperlinks>
    <hyperlink ref="A3" r:id="rId1"/>
    <hyperlink ref="A4" r:id="rId2"/>
    <hyperlink ref="A5" r:id="rId3"/>
    <hyperlink ref="A6" r:id="rId4"/>
    <hyperlink ref="A7" r:id="rId5"/>
    <hyperlink ref="A8" r:id="rId6"/>
    <hyperlink ref="A9" r:id="rId7"/>
    <hyperlink ref="A10" r:id="rId8"/>
    <hyperlink ref="A11" r:id="rId9"/>
    <hyperlink ref="A12" r:id="rId10"/>
    <hyperlink ref="A15" r:id="rId11"/>
    <hyperlink ref="A16" r:id="rId12"/>
    <hyperlink ref="A17" r:id="rId13"/>
    <hyperlink ref="A18" r:id="rId14"/>
    <hyperlink ref="A19" r:id="rId15"/>
    <hyperlink ref="A20" r:id="rId16"/>
    <hyperlink ref="A21" r:id="rId17"/>
    <hyperlink ref="A22" r:id="rId18"/>
    <hyperlink ref="A23" r:id="rId19"/>
    <hyperlink ref="A24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8"/>
  <sheetViews>
    <sheetView showGridLines="0" topLeftCell="A216" workbookViewId="0">
      <selection sqref="A1:R238"/>
    </sheetView>
  </sheetViews>
  <sheetFormatPr defaultRowHeight="15" x14ac:dyDescent="0.25"/>
  <cols>
    <col min="1" max="1" width="7.42578125" bestFit="1" customWidth="1"/>
    <col min="2" max="2" width="1.42578125" style="6" bestFit="1" customWidth="1"/>
    <col min="3" max="3" width="19" bestFit="1" customWidth="1"/>
    <col min="4" max="4" width="5.28515625" bestFit="1" customWidth="1"/>
    <col min="5" max="5" width="4.7109375" bestFit="1" customWidth="1"/>
    <col min="6" max="6" width="5.5703125" style="1" bestFit="1" customWidth="1"/>
    <col min="7" max="7" width="5.7109375" customWidth="1"/>
    <col min="8" max="8" width="5.85546875" customWidth="1"/>
    <col min="9" max="9" width="6.42578125" style="1" bestFit="1" customWidth="1"/>
    <col min="10" max="10" width="4.85546875" bestFit="1" customWidth="1"/>
    <col min="11" max="11" width="4.28515625" bestFit="1" customWidth="1"/>
    <col min="12" max="12" width="5.5703125" style="1" bestFit="1" customWidth="1"/>
    <col min="13" max="13" width="5" bestFit="1" customWidth="1"/>
    <col min="14" max="14" width="4.28515625" bestFit="1" customWidth="1"/>
    <col min="15" max="15" width="3.85546875" bestFit="1" customWidth="1"/>
    <col min="16" max="16" width="4" bestFit="1" customWidth="1"/>
    <col min="17" max="17" width="4.140625" bestFit="1" customWidth="1"/>
    <col min="18" max="18" width="5" bestFit="1" customWidth="1"/>
    <col min="20" max="20" width="6" customWidth="1"/>
  </cols>
  <sheetData>
    <row r="1" spans="1:18" s="2" customFormat="1" x14ac:dyDescent="0.25">
      <c r="A1" s="3" t="s">
        <v>0</v>
      </c>
      <c r="B1" s="11" t="s">
        <v>19</v>
      </c>
      <c r="C1" s="4" t="s">
        <v>1</v>
      </c>
      <c r="D1" s="3" t="s">
        <v>2</v>
      </c>
      <c r="E1" s="3" t="s">
        <v>3</v>
      </c>
      <c r="F1" s="5" t="s">
        <v>4</v>
      </c>
      <c r="G1" s="3" t="s">
        <v>5</v>
      </c>
      <c r="H1" s="3" t="s">
        <v>6</v>
      </c>
      <c r="I1" s="5" t="s">
        <v>7</v>
      </c>
      <c r="J1" s="3" t="s">
        <v>8</v>
      </c>
      <c r="K1" s="3" t="s">
        <v>9</v>
      </c>
      <c r="L1" s="5" t="s">
        <v>10</v>
      </c>
      <c r="M1" s="3" t="s">
        <v>11</v>
      </c>
      <c r="N1" s="3" t="s">
        <v>12</v>
      </c>
      <c r="O1" s="3" t="s">
        <v>15</v>
      </c>
      <c r="P1" s="3" t="s">
        <v>16</v>
      </c>
      <c r="Q1" s="3" t="s">
        <v>14</v>
      </c>
      <c r="R1" s="13" t="s">
        <v>13</v>
      </c>
    </row>
    <row r="2" spans="1:18" x14ac:dyDescent="0.25">
      <c r="A2" s="14">
        <v>42160</v>
      </c>
      <c r="B2" s="15"/>
      <c r="C2" s="10" t="s">
        <v>79</v>
      </c>
      <c r="D2" s="16">
        <v>11</v>
      </c>
      <c r="E2" s="16">
        <v>20</v>
      </c>
      <c r="F2" s="17">
        <f t="shared" ref="F2:F11" si="0">IF(E2=0,0,D2/E2)</f>
        <v>0.55000000000000004</v>
      </c>
      <c r="G2" s="16">
        <v>0</v>
      </c>
      <c r="H2" s="16">
        <v>3</v>
      </c>
      <c r="I2" s="17">
        <f t="shared" ref="I2:I11" si="1">IF(H2=0,0,G2/H2)</f>
        <v>0</v>
      </c>
      <c r="J2" s="16">
        <v>9</v>
      </c>
      <c r="K2" s="16">
        <v>10</v>
      </c>
      <c r="L2" s="17">
        <f t="shared" ref="L2:L11" si="2">IF(K2=0,0,J2/K2)</f>
        <v>0.9</v>
      </c>
      <c r="M2" s="16">
        <v>8</v>
      </c>
      <c r="N2" s="16">
        <v>1</v>
      </c>
      <c r="O2" s="16">
        <v>3</v>
      </c>
      <c r="P2" s="16">
        <v>1</v>
      </c>
      <c r="Q2" s="16">
        <v>4</v>
      </c>
      <c r="R2" s="16">
        <v>31</v>
      </c>
    </row>
    <row r="3" spans="1:18" x14ac:dyDescent="0.25">
      <c r="A3" s="14">
        <v>42160</v>
      </c>
      <c r="B3" s="15"/>
      <c r="C3" s="10" t="s">
        <v>80</v>
      </c>
      <c r="D3" s="16">
        <v>8</v>
      </c>
      <c r="E3" s="16">
        <v>17</v>
      </c>
      <c r="F3" s="17">
        <f t="shared" si="0"/>
        <v>0.47058823529411764</v>
      </c>
      <c r="G3" s="16">
        <v>2</v>
      </c>
      <c r="H3" s="16">
        <v>4</v>
      </c>
      <c r="I3" s="17">
        <f t="shared" si="1"/>
        <v>0.5</v>
      </c>
      <c r="J3" s="16">
        <v>0</v>
      </c>
      <c r="K3" s="16">
        <v>0</v>
      </c>
      <c r="L3" s="17">
        <f t="shared" si="2"/>
        <v>0</v>
      </c>
      <c r="M3" s="16">
        <v>6</v>
      </c>
      <c r="N3" s="16">
        <v>2</v>
      </c>
      <c r="O3" s="16">
        <v>1</v>
      </c>
      <c r="P3" s="16">
        <v>0</v>
      </c>
      <c r="Q3" s="16">
        <v>1</v>
      </c>
      <c r="R3" s="16">
        <v>18</v>
      </c>
    </row>
    <row r="4" spans="1:18" x14ac:dyDescent="0.25">
      <c r="A4" s="14">
        <v>42160</v>
      </c>
      <c r="B4" s="15"/>
      <c r="C4" s="10" t="s">
        <v>81</v>
      </c>
      <c r="D4" s="16">
        <v>0</v>
      </c>
      <c r="E4" s="16">
        <v>1</v>
      </c>
      <c r="F4" s="17">
        <f t="shared" si="0"/>
        <v>0</v>
      </c>
      <c r="G4" s="16">
        <v>0</v>
      </c>
      <c r="H4" s="16">
        <v>0</v>
      </c>
      <c r="I4" s="17">
        <f t="shared" si="1"/>
        <v>0</v>
      </c>
      <c r="J4" s="16">
        <v>0</v>
      </c>
      <c r="K4" s="16">
        <v>0</v>
      </c>
      <c r="L4" s="17">
        <f t="shared" si="2"/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</row>
    <row r="5" spans="1:18" x14ac:dyDescent="0.25">
      <c r="A5" s="26">
        <v>42160</v>
      </c>
      <c r="B5" s="26"/>
      <c r="C5" s="6" t="s">
        <v>82</v>
      </c>
      <c r="D5" s="23">
        <v>4</v>
      </c>
      <c r="E5" s="23">
        <v>8</v>
      </c>
      <c r="F5" s="24">
        <f t="shared" si="0"/>
        <v>0.5</v>
      </c>
      <c r="G5" s="23">
        <v>1</v>
      </c>
      <c r="H5" s="23">
        <v>1</v>
      </c>
      <c r="I5" s="24">
        <f t="shared" si="1"/>
        <v>1</v>
      </c>
      <c r="J5" s="23">
        <v>1</v>
      </c>
      <c r="K5" s="23">
        <v>2</v>
      </c>
      <c r="L5" s="24">
        <f t="shared" si="2"/>
        <v>0.5</v>
      </c>
      <c r="M5" s="23">
        <v>5</v>
      </c>
      <c r="N5" s="23">
        <v>1</v>
      </c>
      <c r="O5" s="23">
        <v>0</v>
      </c>
      <c r="P5" s="23">
        <v>1</v>
      </c>
      <c r="Q5" s="23">
        <v>0</v>
      </c>
      <c r="R5" s="25">
        <v>10</v>
      </c>
    </row>
    <row r="6" spans="1:18" x14ac:dyDescent="0.25">
      <c r="A6" s="14">
        <v>42160</v>
      </c>
      <c r="B6" s="15"/>
      <c r="C6" s="10" t="s">
        <v>83</v>
      </c>
      <c r="D6" s="16">
        <v>0</v>
      </c>
      <c r="E6" s="16">
        <v>4</v>
      </c>
      <c r="F6" s="17">
        <f t="shared" si="0"/>
        <v>0</v>
      </c>
      <c r="G6" s="16">
        <v>0</v>
      </c>
      <c r="H6" s="16">
        <v>4</v>
      </c>
      <c r="I6" s="17">
        <f t="shared" si="1"/>
        <v>0</v>
      </c>
      <c r="J6" s="16">
        <v>0</v>
      </c>
      <c r="K6" s="16">
        <v>0</v>
      </c>
      <c r="L6" s="17">
        <f t="shared" si="2"/>
        <v>0</v>
      </c>
      <c r="M6" s="16">
        <v>2</v>
      </c>
      <c r="N6" s="16">
        <v>0</v>
      </c>
      <c r="O6" s="16">
        <v>0</v>
      </c>
      <c r="P6" s="16">
        <v>1</v>
      </c>
      <c r="Q6" s="16">
        <v>0</v>
      </c>
      <c r="R6" s="16">
        <v>0</v>
      </c>
    </row>
    <row r="7" spans="1:18" x14ac:dyDescent="0.25">
      <c r="A7" s="14">
        <v>42161</v>
      </c>
      <c r="B7" s="15"/>
      <c r="C7" s="15" t="s">
        <v>96</v>
      </c>
      <c r="D7" s="16">
        <v>5</v>
      </c>
      <c r="E7" s="16">
        <v>9</v>
      </c>
      <c r="F7" s="18">
        <f t="shared" si="0"/>
        <v>0.55555555555555558</v>
      </c>
      <c r="G7" s="16">
        <v>1</v>
      </c>
      <c r="H7" s="16">
        <v>1</v>
      </c>
      <c r="I7" s="18">
        <f t="shared" si="1"/>
        <v>1</v>
      </c>
      <c r="J7" s="16">
        <v>0</v>
      </c>
      <c r="K7" s="16">
        <v>0</v>
      </c>
      <c r="L7" s="18">
        <f t="shared" si="2"/>
        <v>0</v>
      </c>
      <c r="M7" s="16">
        <v>3</v>
      </c>
      <c r="N7" s="16">
        <v>5</v>
      </c>
      <c r="O7" s="16">
        <v>0</v>
      </c>
      <c r="P7" s="16">
        <v>2</v>
      </c>
      <c r="Q7" s="16">
        <v>0</v>
      </c>
      <c r="R7" s="16">
        <v>11</v>
      </c>
    </row>
    <row r="8" spans="1:18" x14ac:dyDescent="0.25">
      <c r="A8" s="14">
        <v>42161</v>
      </c>
      <c r="B8" s="15"/>
      <c r="C8" s="15" t="s">
        <v>97</v>
      </c>
      <c r="D8" s="16">
        <v>7</v>
      </c>
      <c r="E8" s="16">
        <v>11</v>
      </c>
      <c r="F8" s="18">
        <f t="shared" si="0"/>
        <v>0.63636363636363635</v>
      </c>
      <c r="G8" s="16">
        <v>0</v>
      </c>
      <c r="H8" s="16">
        <v>0</v>
      </c>
      <c r="I8" s="18">
        <f t="shared" si="1"/>
        <v>0</v>
      </c>
      <c r="J8" s="16">
        <v>0</v>
      </c>
      <c r="K8" s="16">
        <v>0</v>
      </c>
      <c r="L8" s="18">
        <f t="shared" si="2"/>
        <v>0</v>
      </c>
      <c r="M8" s="16">
        <v>5</v>
      </c>
      <c r="N8" s="16">
        <v>1</v>
      </c>
      <c r="O8" s="16">
        <v>0</v>
      </c>
      <c r="P8" s="16">
        <v>2</v>
      </c>
      <c r="Q8" s="16">
        <v>1</v>
      </c>
      <c r="R8" s="16">
        <v>14</v>
      </c>
    </row>
    <row r="9" spans="1:18" x14ac:dyDescent="0.25">
      <c r="A9" s="14">
        <v>42161</v>
      </c>
      <c r="B9" s="15"/>
      <c r="C9" s="15" t="s">
        <v>79</v>
      </c>
      <c r="D9" s="16">
        <v>13</v>
      </c>
      <c r="E9" s="16">
        <v>24</v>
      </c>
      <c r="F9" s="18">
        <f t="shared" si="0"/>
        <v>0.54166666666666663</v>
      </c>
      <c r="G9" s="16">
        <v>3</v>
      </c>
      <c r="H9" s="16">
        <v>10</v>
      </c>
      <c r="I9" s="18">
        <f t="shared" si="1"/>
        <v>0.3</v>
      </c>
      <c r="J9" s="16">
        <v>11</v>
      </c>
      <c r="K9" s="16">
        <v>11</v>
      </c>
      <c r="L9" s="18">
        <f t="shared" si="2"/>
        <v>1</v>
      </c>
      <c r="M9" s="16">
        <v>9</v>
      </c>
      <c r="N9" s="16">
        <v>1</v>
      </c>
      <c r="O9" s="16">
        <v>0</v>
      </c>
      <c r="P9" s="16">
        <v>2</v>
      </c>
      <c r="Q9" s="16">
        <v>3</v>
      </c>
      <c r="R9" s="16">
        <v>40</v>
      </c>
    </row>
    <row r="10" spans="1:18" x14ac:dyDescent="0.25">
      <c r="A10" s="26">
        <v>42161</v>
      </c>
      <c r="B10" s="26"/>
      <c r="C10" s="22" t="s">
        <v>80</v>
      </c>
      <c r="D10" s="23">
        <v>7</v>
      </c>
      <c r="E10" s="23">
        <v>14</v>
      </c>
      <c r="F10" s="24">
        <f t="shared" si="0"/>
        <v>0.5</v>
      </c>
      <c r="G10" s="23">
        <v>1</v>
      </c>
      <c r="H10" s="23">
        <v>1</v>
      </c>
      <c r="I10" s="24">
        <f t="shared" si="1"/>
        <v>1</v>
      </c>
      <c r="J10" s="23">
        <v>4</v>
      </c>
      <c r="K10" s="23">
        <v>5</v>
      </c>
      <c r="L10" s="24">
        <f t="shared" si="2"/>
        <v>0.8</v>
      </c>
      <c r="M10" s="23">
        <v>5</v>
      </c>
      <c r="N10" s="23">
        <v>0</v>
      </c>
      <c r="O10" s="23">
        <v>1</v>
      </c>
      <c r="P10" s="23">
        <v>2</v>
      </c>
      <c r="Q10" s="23">
        <v>0</v>
      </c>
      <c r="R10" s="25">
        <v>19</v>
      </c>
    </row>
    <row r="11" spans="1:18" x14ac:dyDescent="0.25">
      <c r="A11" s="26">
        <v>42161</v>
      </c>
      <c r="B11" s="26"/>
      <c r="C11" s="22" t="s">
        <v>81</v>
      </c>
      <c r="D11" s="23">
        <v>3</v>
      </c>
      <c r="E11" s="23">
        <v>4</v>
      </c>
      <c r="F11" s="24">
        <f t="shared" si="0"/>
        <v>0.75</v>
      </c>
      <c r="G11" s="23">
        <v>0</v>
      </c>
      <c r="H11" s="23">
        <v>0</v>
      </c>
      <c r="I11" s="24">
        <f t="shared" si="1"/>
        <v>0</v>
      </c>
      <c r="J11" s="23">
        <v>0</v>
      </c>
      <c r="K11" s="23">
        <v>0</v>
      </c>
      <c r="L11" s="24">
        <f t="shared" si="2"/>
        <v>0</v>
      </c>
      <c r="M11" s="23">
        <v>6</v>
      </c>
      <c r="N11" s="23">
        <v>1</v>
      </c>
      <c r="O11" s="23">
        <v>0</v>
      </c>
      <c r="P11" s="23">
        <v>2</v>
      </c>
      <c r="Q11" s="23">
        <v>0</v>
      </c>
      <c r="R11" s="25">
        <v>6</v>
      </c>
    </row>
    <row r="12" spans="1:18" x14ac:dyDescent="0.25">
      <c r="A12" s="26">
        <v>42164</v>
      </c>
      <c r="B12" s="26"/>
      <c r="C12" s="22" t="s">
        <v>101</v>
      </c>
      <c r="D12" s="23">
        <v>4</v>
      </c>
      <c r="E12" s="23">
        <v>9</v>
      </c>
      <c r="F12" s="38">
        <f t="shared" ref="F12:F20" si="3">IF(E12=0,0,D12/E12)</f>
        <v>0.44444444444444442</v>
      </c>
      <c r="G12" s="23">
        <v>1</v>
      </c>
      <c r="H12" s="23">
        <v>2</v>
      </c>
      <c r="I12" s="38">
        <f t="shared" ref="I12:I20" si="4">IF(H12=0,0,G12/H12)</f>
        <v>0.5</v>
      </c>
      <c r="J12" s="23">
        <v>4</v>
      </c>
      <c r="K12" s="23">
        <v>4</v>
      </c>
      <c r="L12" s="38">
        <f t="shared" ref="L12:L20" si="5">IF(K12=0,0,J12/K12)</f>
        <v>1</v>
      </c>
      <c r="M12" s="23">
        <v>7</v>
      </c>
      <c r="N12" s="23">
        <v>2</v>
      </c>
      <c r="O12" s="23">
        <v>1</v>
      </c>
      <c r="P12" s="23">
        <v>1</v>
      </c>
      <c r="Q12" s="23">
        <v>1</v>
      </c>
      <c r="R12" s="25">
        <v>13</v>
      </c>
    </row>
    <row r="13" spans="1:18" x14ac:dyDescent="0.25">
      <c r="A13" s="110">
        <v>42164</v>
      </c>
      <c r="B13" s="110"/>
      <c r="C13" s="111" t="s">
        <v>96</v>
      </c>
      <c r="D13" s="112">
        <v>3</v>
      </c>
      <c r="E13" s="112">
        <v>8</v>
      </c>
      <c r="F13" s="114">
        <f t="shared" si="3"/>
        <v>0.375</v>
      </c>
      <c r="G13" s="112">
        <v>0</v>
      </c>
      <c r="H13" s="112">
        <v>3</v>
      </c>
      <c r="I13" s="114">
        <f t="shared" si="4"/>
        <v>0</v>
      </c>
      <c r="J13" s="112">
        <v>0</v>
      </c>
      <c r="K13" s="112">
        <v>0</v>
      </c>
      <c r="L13" s="114">
        <f t="shared" si="5"/>
        <v>0</v>
      </c>
      <c r="M13" s="112">
        <v>3</v>
      </c>
      <c r="N13" s="112">
        <v>2</v>
      </c>
      <c r="O13" s="112">
        <v>2</v>
      </c>
      <c r="P13" s="112">
        <v>3</v>
      </c>
      <c r="Q13" s="112">
        <v>0</v>
      </c>
      <c r="R13" s="115">
        <v>6</v>
      </c>
    </row>
    <row r="14" spans="1:18" x14ac:dyDescent="0.25">
      <c r="A14" s="110">
        <v>42164</v>
      </c>
      <c r="B14" s="110"/>
      <c r="C14" s="111" t="s">
        <v>80</v>
      </c>
      <c r="D14" s="112">
        <v>5</v>
      </c>
      <c r="E14" s="112">
        <v>10</v>
      </c>
      <c r="F14" s="114">
        <f t="shared" si="3"/>
        <v>0.5</v>
      </c>
      <c r="G14" s="112">
        <v>0</v>
      </c>
      <c r="H14" s="112">
        <v>0</v>
      </c>
      <c r="I14" s="114">
        <f t="shared" si="4"/>
        <v>0</v>
      </c>
      <c r="J14" s="112">
        <v>2</v>
      </c>
      <c r="K14" s="112">
        <v>2</v>
      </c>
      <c r="L14" s="114">
        <f t="shared" si="5"/>
        <v>1</v>
      </c>
      <c r="M14" s="112">
        <v>4</v>
      </c>
      <c r="N14" s="112">
        <v>2</v>
      </c>
      <c r="O14" s="112">
        <v>1</v>
      </c>
      <c r="P14" s="112">
        <v>3</v>
      </c>
      <c r="Q14" s="112">
        <v>1</v>
      </c>
      <c r="R14" s="115">
        <v>12</v>
      </c>
    </row>
    <row r="15" spans="1:18" x14ac:dyDescent="0.25">
      <c r="A15" s="110">
        <v>42164</v>
      </c>
      <c r="B15" s="110"/>
      <c r="C15" s="111" t="s">
        <v>97</v>
      </c>
      <c r="D15" s="112">
        <v>5</v>
      </c>
      <c r="E15" s="112">
        <v>11</v>
      </c>
      <c r="F15" s="114">
        <f t="shared" si="3"/>
        <v>0.45454545454545453</v>
      </c>
      <c r="G15" s="112">
        <v>0</v>
      </c>
      <c r="H15" s="112">
        <v>0</v>
      </c>
      <c r="I15" s="114">
        <f t="shared" si="4"/>
        <v>0</v>
      </c>
      <c r="J15" s="112">
        <v>3</v>
      </c>
      <c r="K15" s="112">
        <v>4</v>
      </c>
      <c r="L15" s="114">
        <f t="shared" si="5"/>
        <v>0.75</v>
      </c>
      <c r="M15" s="112">
        <v>4</v>
      </c>
      <c r="N15" s="112">
        <v>0</v>
      </c>
      <c r="O15" s="112">
        <v>1</v>
      </c>
      <c r="P15" s="112">
        <v>4</v>
      </c>
      <c r="Q15" s="112">
        <v>0</v>
      </c>
      <c r="R15" s="115">
        <v>13</v>
      </c>
    </row>
    <row r="16" spans="1:18" x14ac:dyDescent="0.25">
      <c r="A16" s="110">
        <v>42164</v>
      </c>
      <c r="B16" s="110"/>
      <c r="C16" s="111" t="s">
        <v>81</v>
      </c>
      <c r="D16" s="112">
        <v>1</v>
      </c>
      <c r="E16" s="112">
        <v>3</v>
      </c>
      <c r="F16" s="114">
        <f t="shared" si="3"/>
        <v>0.33333333333333331</v>
      </c>
      <c r="G16" s="112">
        <v>1</v>
      </c>
      <c r="H16" s="112">
        <v>1</v>
      </c>
      <c r="I16" s="114">
        <f t="shared" si="4"/>
        <v>1</v>
      </c>
      <c r="J16" s="112">
        <v>2</v>
      </c>
      <c r="K16" s="112">
        <v>4</v>
      </c>
      <c r="L16" s="114">
        <f t="shared" si="5"/>
        <v>0.5</v>
      </c>
      <c r="M16" s="112">
        <v>3</v>
      </c>
      <c r="N16" s="112">
        <v>0</v>
      </c>
      <c r="O16" s="112">
        <v>0</v>
      </c>
      <c r="P16" s="112">
        <v>0</v>
      </c>
      <c r="Q16" s="112">
        <v>0</v>
      </c>
      <c r="R16" s="115">
        <v>5</v>
      </c>
    </row>
    <row r="17" spans="1:18" x14ac:dyDescent="0.25">
      <c r="A17" s="117">
        <v>42166</v>
      </c>
      <c r="B17" s="117"/>
      <c r="C17" s="111" t="s">
        <v>79</v>
      </c>
      <c r="D17" s="112">
        <v>10</v>
      </c>
      <c r="E17" s="112">
        <v>20</v>
      </c>
      <c r="F17" s="114">
        <f t="shared" si="3"/>
        <v>0.5</v>
      </c>
      <c r="G17" s="112">
        <v>0</v>
      </c>
      <c r="H17" s="112">
        <v>3</v>
      </c>
      <c r="I17" s="114">
        <f t="shared" si="4"/>
        <v>0</v>
      </c>
      <c r="J17" s="112">
        <v>7</v>
      </c>
      <c r="K17" s="112">
        <v>7</v>
      </c>
      <c r="L17" s="114">
        <f t="shared" si="5"/>
        <v>1</v>
      </c>
      <c r="M17" s="112">
        <v>5</v>
      </c>
      <c r="N17" s="112">
        <v>0</v>
      </c>
      <c r="O17" s="112">
        <v>1</v>
      </c>
      <c r="P17" s="112">
        <v>0</v>
      </c>
      <c r="Q17" s="112">
        <v>1</v>
      </c>
      <c r="R17" s="115">
        <v>27</v>
      </c>
    </row>
    <row r="18" spans="1:18" x14ac:dyDescent="0.25">
      <c r="A18" s="117">
        <v>42166</v>
      </c>
      <c r="B18" s="117"/>
      <c r="C18" s="111" t="s">
        <v>82</v>
      </c>
      <c r="D18" s="112">
        <v>7</v>
      </c>
      <c r="E18" s="112">
        <v>11</v>
      </c>
      <c r="F18" s="114">
        <f t="shared" si="3"/>
        <v>0.63636363636363635</v>
      </c>
      <c r="G18" s="112">
        <v>1</v>
      </c>
      <c r="H18" s="112">
        <v>2</v>
      </c>
      <c r="I18" s="114">
        <f t="shared" si="4"/>
        <v>0.5</v>
      </c>
      <c r="J18" s="112">
        <v>2</v>
      </c>
      <c r="K18" s="112">
        <v>2</v>
      </c>
      <c r="L18" s="114">
        <f t="shared" si="5"/>
        <v>1</v>
      </c>
      <c r="M18" s="112">
        <v>6</v>
      </c>
      <c r="N18" s="112">
        <v>2</v>
      </c>
      <c r="O18" s="112">
        <v>0</v>
      </c>
      <c r="P18" s="112">
        <v>0</v>
      </c>
      <c r="Q18" s="112">
        <v>0</v>
      </c>
      <c r="R18" s="115">
        <v>17</v>
      </c>
    </row>
    <row r="19" spans="1:18" x14ac:dyDescent="0.25">
      <c r="A19" s="43">
        <v>42166</v>
      </c>
      <c r="B19" s="43"/>
      <c r="C19" s="22" t="s">
        <v>96</v>
      </c>
      <c r="D19" s="23">
        <v>3</v>
      </c>
      <c r="E19" s="23">
        <v>6</v>
      </c>
      <c r="F19" s="38">
        <f t="shared" si="3"/>
        <v>0.5</v>
      </c>
      <c r="G19" s="23">
        <v>0</v>
      </c>
      <c r="H19" s="23">
        <v>0</v>
      </c>
      <c r="I19" s="38">
        <f t="shared" si="4"/>
        <v>0</v>
      </c>
      <c r="J19" s="23">
        <v>6</v>
      </c>
      <c r="K19" s="23">
        <v>6</v>
      </c>
      <c r="L19" s="38">
        <f t="shared" si="5"/>
        <v>1</v>
      </c>
      <c r="M19" s="23">
        <v>1</v>
      </c>
      <c r="N19" s="23">
        <v>6</v>
      </c>
      <c r="O19" s="23">
        <v>0</v>
      </c>
      <c r="P19" s="23">
        <v>1</v>
      </c>
      <c r="Q19" s="23">
        <v>0</v>
      </c>
      <c r="R19" s="25">
        <v>12</v>
      </c>
    </row>
    <row r="20" spans="1:18" x14ac:dyDescent="0.25">
      <c r="A20" s="43">
        <v>42166</v>
      </c>
      <c r="B20" s="43"/>
      <c r="C20" s="22" t="s">
        <v>83</v>
      </c>
      <c r="D20" s="23">
        <v>4</v>
      </c>
      <c r="E20" s="23">
        <v>9</v>
      </c>
      <c r="F20" s="38">
        <f t="shared" si="3"/>
        <v>0.44444444444444442</v>
      </c>
      <c r="G20" s="23">
        <v>4</v>
      </c>
      <c r="H20" s="23">
        <v>7</v>
      </c>
      <c r="I20" s="38">
        <f t="shared" si="4"/>
        <v>0.5714285714285714</v>
      </c>
      <c r="J20" s="23">
        <v>3</v>
      </c>
      <c r="K20" s="23">
        <v>3</v>
      </c>
      <c r="L20" s="38">
        <f t="shared" si="5"/>
        <v>1</v>
      </c>
      <c r="M20" s="23">
        <v>1</v>
      </c>
      <c r="N20" s="23">
        <v>2</v>
      </c>
      <c r="O20" s="23">
        <v>0</v>
      </c>
      <c r="P20" s="23">
        <v>0</v>
      </c>
      <c r="Q20" s="23">
        <v>0</v>
      </c>
      <c r="R20" s="25">
        <v>15</v>
      </c>
    </row>
    <row r="21" spans="1:18" x14ac:dyDescent="0.25">
      <c r="A21" s="43">
        <v>42167</v>
      </c>
      <c r="B21" s="43"/>
      <c r="C21" s="22" t="s">
        <v>97</v>
      </c>
      <c r="D21" s="23">
        <v>3</v>
      </c>
      <c r="E21" s="23">
        <v>8</v>
      </c>
      <c r="F21" s="38">
        <f>IF(E21=0,0,D21/E21)</f>
        <v>0.375</v>
      </c>
      <c r="G21" s="23">
        <v>0</v>
      </c>
      <c r="H21" s="23">
        <v>0</v>
      </c>
      <c r="I21" s="38">
        <f>IF(H21=0,0,G21/H21)</f>
        <v>0</v>
      </c>
      <c r="J21" s="23">
        <v>0</v>
      </c>
      <c r="K21" s="23">
        <v>0</v>
      </c>
      <c r="L21" s="38">
        <f>IF(K21=0,0,J21/K21)</f>
        <v>0</v>
      </c>
      <c r="M21" s="23">
        <v>7</v>
      </c>
      <c r="N21" s="23">
        <v>0</v>
      </c>
      <c r="O21" s="23">
        <v>2</v>
      </c>
      <c r="P21" s="23">
        <v>3</v>
      </c>
      <c r="Q21" s="23">
        <v>1</v>
      </c>
      <c r="R21" s="25">
        <v>6</v>
      </c>
    </row>
    <row r="22" spans="1:18" x14ac:dyDescent="0.25">
      <c r="A22" s="43">
        <v>42167</v>
      </c>
      <c r="B22" s="43"/>
      <c r="C22" s="22" t="s">
        <v>101</v>
      </c>
      <c r="D22" s="23">
        <v>9</v>
      </c>
      <c r="E22" s="23">
        <v>17</v>
      </c>
      <c r="F22" s="38">
        <f>IF(E22=0,0,D22/E22)</f>
        <v>0.52941176470588236</v>
      </c>
      <c r="G22" s="23">
        <v>1</v>
      </c>
      <c r="H22" s="23">
        <v>1</v>
      </c>
      <c r="I22" s="38">
        <f>IF(H22=0,0,G22/H22)</f>
        <v>1</v>
      </c>
      <c r="J22" s="23">
        <v>8</v>
      </c>
      <c r="K22" s="23">
        <v>10</v>
      </c>
      <c r="L22" s="38">
        <f>IF(K22=0,0,J22/K22)</f>
        <v>0.8</v>
      </c>
      <c r="M22" s="23">
        <v>13</v>
      </c>
      <c r="N22" s="23">
        <v>2</v>
      </c>
      <c r="O22" s="23">
        <v>1</v>
      </c>
      <c r="P22" s="23">
        <v>2</v>
      </c>
      <c r="Q22" s="23">
        <v>0</v>
      </c>
      <c r="R22" s="25">
        <v>27</v>
      </c>
    </row>
    <row r="23" spans="1:18" x14ac:dyDescent="0.25">
      <c r="A23" s="43">
        <v>42169</v>
      </c>
      <c r="B23" s="43"/>
      <c r="C23" s="22" t="s">
        <v>79</v>
      </c>
      <c r="D23" s="23">
        <v>6</v>
      </c>
      <c r="E23" s="23">
        <v>11</v>
      </c>
      <c r="F23" s="38">
        <f t="shared" ref="F23:F34" si="6">IF(E23=0,0,D23/E23)</f>
        <v>0.54545454545454541</v>
      </c>
      <c r="G23" s="23">
        <v>2</v>
      </c>
      <c r="H23" s="23">
        <v>4</v>
      </c>
      <c r="I23" s="38">
        <f t="shared" ref="I23:I34" si="7">IF(H23=0,0,G23/H23)</f>
        <v>0.5</v>
      </c>
      <c r="J23" s="23">
        <v>10</v>
      </c>
      <c r="K23" s="23">
        <v>11</v>
      </c>
      <c r="L23" s="38">
        <f t="shared" ref="L23:L34" si="8">IF(K23=0,0,J23/K23)</f>
        <v>0.90909090909090906</v>
      </c>
      <c r="M23" s="23">
        <v>9</v>
      </c>
      <c r="N23" s="23">
        <v>2</v>
      </c>
      <c r="O23" s="23">
        <v>2</v>
      </c>
      <c r="P23" s="23">
        <v>1</v>
      </c>
      <c r="Q23" s="23">
        <v>1</v>
      </c>
      <c r="R23" s="25">
        <v>24</v>
      </c>
    </row>
    <row r="24" spans="1:18" x14ac:dyDescent="0.25">
      <c r="A24" s="43">
        <v>42169</v>
      </c>
      <c r="B24" s="43"/>
      <c r="C24" s="22" t="s">
        <v>80</v>
      </c>
      <c r="D24" s="23">
        <v>2</v>
      </c>
      <c r="E24" s="23">
        <v>10</v>
      </c>
      <c r="F24" s="38">
        <f t="shared" si="6"/>
        <v>0.2</v>
      </c>
      <c r="G24" s="23">
        <v>0</v>
      </c>
      <c r="H24" s="23">
        <v>0</v>
      </c>
      <c r="I24" s="38">
        <f t="shared" si="7"/>
        <v>0</v>
      </c>
      <c r="J24" s="23">
        <v>1</v>
      </c>
      <c r="K24" s="23">
        <v>2</v>
      </c>
      <c r="L24" s="38">
        <f t="shared" si="8"/>
        <v>0.5</v>
      </c>
      <c r="M24" s="23">
        <v>9</v>
      </c>
      <c r="N24" s="23">
        <v>3</v>
      </c>
      <c r="O24" s="23">
        <v>0</v>
      </c>
      <c r="P24" s="23">
        <v>3</v>
      </c>
      <c r="Q24" s="23">
        <v>0</v>
      </c>
      <c r="R24" s="25">
        <v>5</v>
      </c>
    </row>
    <row r="25" spans="1:18" x14ac:dyDescent="0.25">
      <c r="A25" s="43">
        <v>42169</v>
      </c>
      <c r="B25" s="43"/>
      <c r="C25" s="22" t="s">
        <v>82</v>
      </c>
      <c r="D25" s="23">
        <v>2</v>
      </c>
      <c r="E25" s="23">
        <v>7</v>
      </c>
      <c r="F25" s="38">
        <f t="shared" si="6"/>
        <v>0.2857142857142857</v>
      </c>
      <c r="G25" s="23">
        <v>0</v>
      </c>
      <c r="H25" s="23">
        <v>1</v>
      </c>
      <c r="I25" s="38">
        <f t="shared" si="7"/>
        <v>0</v>
      </c>
      <c r="J25" s="23">
        <v>4</v>
      </c>
      <c r="K25" s="23">
        <v>8</v>
      </c>
      <c r="L25" s="38">
        <f t="shared" si="8"/>
        <v>0.5</v>
      </c>
      <c r="M25" s="23">
        <v>6</v>
      </c>
      <c r="N25" s="23">
        <v>0</v>
      </c>
      <c r="O25" s="23">
        <v>1</v>
      </c>
      <c r="P25" s="23">
        <v>4</v>
      </c>
      <c r="Q25" s="23">
        <v>0</v>
      </c>
      <c r="R25" s="25">
        <v>8</v>
      </c>
    </row>
    <row r="26" spans="1:18" x14ac:dyDescent="0.25">
      <c r="A26" s="43">
        <v>42169</v>
      </c>
      <c r="B26" s="43"/>
      <c r="C26" s="22" t="s">
        <v>97</v>
      </c>
      <c r="D26" s="23">
        <v>5</v>
      </c>
      <c r="E26" s="23">
        <v>11</v>
      </c>
      <c r="F26" s="38">
        <f t="shared" si="6"/>
        <v>0.45454545454545453</v>
      </c>
      <c r="G26" s="23">
        <v>0</v>
      </c>
      <c r="H26" s="23">
        <v>0</v>
      </c>
      <c r="I26" s="38">
        <f t="shared" si="7"/>
        <v>0</v>
      </c>
      <c r="J26" s="23">
        <v>2</v>
      </c>
      <c r="K26" s="23">
        <v>4</v>
      </c>
      <c r="L26" s="38">
        <f t="shared" si="8"/>
        <v>0.5</v>
      </c>
      <c r="M26" s="23">
        <v>5</v>
      </c>
      <c r="N26" s="23">
        <v>1</v>
      </c>
      <c r="O26" s="23">
        <v>0</v>
      </c>
      <c r="P26" s="23">
        <v>0</v>
      </c>
      <c r="Q26" s="23">
        <v>0</v>
      </c>
      <c r="R26" s="25">
        <v>12</v>
      </c>
    </row>
    <row r="27" spans="1:18" x14ac:dyDescent="0.25">
      <c r="A27" s="43">
        <v>42169</v>
      </c>
      <c r="B27" s="43"/>
      <c r="C27" s="22" t="s">
        <v>83</v>
      </c>
      <c r="D27" s="23">
        <v>0</v>
      </c>
      <c r="E27" s="23">
        <v>3</v>
      </c>
      <c r="F27" s="38">
        <f t="shared" si="6"/>
        <v>0</v>
      </c>
      <c r="G27" s="23">
        <v>0</v>
      </c>
      <c r="H27" s="23">
        <v>2</v>
      </c>
      <c r="I27" s="38">
        <f t="shared" si="7"/>
        <v>0</v>
      </c>
      <c r="J27" s="23">
        <v>0</v>
      </c>
      <c r="K27" s="23">
        <v>0</v>
      </c>
      <c r="L27" s="38">
        <f t="shared" si="8"/>
        <v>0</v>
      </c>
      <c r="M27" s="23">
        <v>1</v>
      </c>
      <c r="N27" s="23">
        <v>0</v>
      </c>
      <c r="O27" s="23">
        <v>1</v>
      </c>
      <c r="P27" s="23">
        <v>0</v>
      </c>
      <c r="Q27" s="23">
        <v>0</v>
      </c>
      <c r="R27" s="25">
        <v>0</v>
      </c>
    </row>
    <row r="28" spans="1:18" x14ac:dyDescent="0.25">
      <c r="A28" s="43">
        <v>42169</v>
      </c>
      <c r="B28" s="43"/>
      <c r="C28" s="22" t="s">
        <v>96</v>
      </c>
      <c r="D28" s="23">
        <v>1</v>
      </c>
      <c r="E28" s="23">
        <v>6</v>
      </c>
      <c r="F28" s="38">
        <f t="shared" si="6"/>
        <v>0.16666666666666666</v>
      </c>
      <c r="G28" s="23">
        <v>0</v>
      </c>
      <c r="H28" s="23">
        <v>1</v>
      </c>
      <c r="I28" s="38">
        <f t="shared" si="7"/>
        <v>0</v>
      </c>
      <c r="J28" s="23">
        <v>1</v>
      </c>
      <c r="K28" s="23">
        <v>4</v>
      </c>
      <c r="L28" s="38">
        <f t="shared" si="8"/>
        <v>0.25</v>
      </c>
      <c r="M28" s="23">
        <v>3</v>
      </c>
      <c r="N28" s="23">
        <v>6</v>
      </c>
      <c r="O28" s="23">
        <v>1</v>
      </c>
      <c r="P28" s="23">
        <v>2</v>
      </c>
      <c r="Q28" s="23">
        <v>1</v>
      </c>
      <c r="R28" s="25">
        <v>3</v>
      </c>
    </row>
    <row r="29" spans="1:18" x14ac:dyDescent="0.25">
      <c r="A29" s="43">
        <v>42171</v>
      </c>
      <c r="B29" s="43"/>
      <c r="C29" s="22" t="s">
        <v>101</v>
      </c>
      <c r="D29" s="23">
        <v>2</v>
      </c>
      <c r="E29" s="23">
        <v>13</v>
      </c>
      <c r="F29" s="38">
        <f t="shared" si="6"/>
        <v>0.15384615384615385</v>
      </c>
      <c r="G29" s="23">
        <v>1</v>
      </c>
      <c r="H29" s="23">
        <v>5</v>
      </c>
      <c r="I29" s="38">
        <f t="shared" si="7"/>
        <v>0.2</v>
      </c>
      <c r="J29" s="23">
        <v>6</v>
      </c>
      <c r="K29" s="23">
        <v>8</v>
      </c>
      <c r="L29" s="38">
        <f t="shared" si="8"/>
        <v>0.75</v>
      </c>
      <c r="M29" s="23">
        <v>10</v>
      </c>
      <c r="N29" s="23">
        <v>4</v>
      </c>
      <c r="O29" s="23">
        <v>1</v>
      </c>
      <c r="P29" s="23">
        <v>3</v>
      </c>
      <c r="Q29" s="23">
        <v>3</v>
      </c>
      <c r="R29" s="25">
        <v>11</v>
      </c>
    </row>
    <row r="30" spans="1:18" x14ac:dyDescent="0.25">
      <c r="A30" s="43">
        <v>42171</v>
      </c>
      <c r="B30" s="43"/>
      <c r="C30" s="22" t="s">
        <v>81</v>
      </c>
      <c r="D30" s="23">
        <v>5</v>
      </c>
      <c r="E30" s="23">
        <v>7</v>
      </c>
      <c r="F30" s="38">
        <f t="shared" si="6"/>
        <v>0.7142857142857143</v>
      </c>
      <c r="G30" s="23">
        <v>0</v>
      </c>
      <c r="H30" s="23">
        <v>1</v>
      </c>
      <c r="I30" s="38">
        <f t="shared" si="7"/>
        <v>0</v>
      </c>
      <c r="J30" s="23">
        <v>0</v>
      </c>
      <c r="K30" s="23">
        <v>0</v>
      </c>
      <c r="L30" s="38">
        <f t="shared" si="8"/>
        <v>0</v>
      </c>
      <c r="M30" s="23">
        <v>7</v>
      </c>
      <c r="N30" s="23">
        <v>0</v>
      </c>
      <c r="O30" s="23">
        <v>0</v>
      </c>
      <c r="P30" s="23">
        <v>0</v>
      </c>
      <c r="Q30" s="23">
        <v>1</v>
      </c>
      <c r="R30" s="25">
        <v>10</v>
      </c>
    </row>
    <row r="31" spans="1:18" x14ac:dyDescent="0.25">
      <c r="A31" s="43">
        <v>42171</v>
      </c>
      <c r="B31" s="43"/>
      <c r="C31" s="22" t="s">
        <v>80</v>
      </c>
      <c r="D31" s="23">
        <v>9</v>
      </c>
      <c r="E31" s="23">
        <v>13</v>
      </c>
      <c r="F31" s="38">
        <f t="shared" si="6"/>
        <v>0.69230769230769229</v>
      </c>
      <c r="G31" s="23">
        <v>1</v>
      </c>
      <c r="H31" s="23">
        <v>1</v>
      </c>
      <c r="I31" s="38">
        <f t="shared" si="7"/>
        <v>1</v>
      </c>
      <c r="J31" s="23">
        <v>1</v>
      </c>
      <c r="K31" s="23">
        <v>2</v>
      </c>
      <c r="L31" s="38">
        <f t="shared" si="8"/>
        <v>0.5</v>
      </c>
      <c r="M31" s="23">
        <v>3</v>
      </c>
      <c r="N31" s="23">
        <v>0</v>
      </c>
      <c r="O31" s="23">
        <v>0</v>
      </c>
      <c r="P31" s="23">
        <v>1</v>
      </c>
      <c r="Q31" s="23">
        <v>1</v>
      </c>
      <c r="R31" s="25">
        <v>20</v>
      </c>
    </row>
    <row r="32" spans="1:18" x14ac:dyDescent="0.25">
      <c r="A32" s="43">
        <v>42171</v>
      </c>
      <c r="B32" s="43"/>
      <c r="C32" s="22" t="s">
        <v>82</v>
      </c>
      <c r="D32" s="23">
        <v>3</v>
      </c>
      <c r="E32" s="23">
        <v>10</v>
      </c>
      <c r="F32" s="38">
        <f t="shared" si="6"/>
        <v>0.3</v>
      </c>
      <c r="G32" s="23">
        <v>0</v>
      </c>
      <c r="H32" s="23">
        <v>0</v>
      </c>
      <c r="I32" s="38">
        <f t="shared" si="7"/>
        <v>0</v>
      </c>
      <c r="J32" s="23">
        <v>1</v>
      </c>
      <c r="K32" s="23">
        <v>2</v>
      </c>
      <c r="L32" s="38">
        <f t="shared" si="8"/>
        <v>0.5</v>
      </c>
      <c r="M32" s="23">
        <v>5</v>
      </c>
      <c r="N32" s="23">
        <v>2</v>
      </c>
      <c r="O32" s="23">
        <v>0</v>
      </c>
      <c r="P32" s="23">
        <v>1</v>
      </c>
      <c r="Q32" s="23">
        <v>2</v>
      </c>
      <c r="R32" s="25">
        <v>7</v>
      </c>
    </row>
    <row r="33" spans="1:18" x14ac:dyDescent="0.25">
      <c r="A33" s="43">
        <v>42171</v>
      </c>
      <c r="B33" s="43"/>
      <c r="C33" s="22" t="s">
        <v>83</v>
      </c>
      <c r="D33" s="23">
        <v>0</v>
      </c>
      <c r="E33" s="23">
        <v>1</v>
      </c>
      <c r="F33" s="38">
        <f t="shared" si="6"/>
        <v>0</v>
      </c>
      <c r="G33" s="23">
        <v>0</v>
      </c>
      <c r="H33" s="23">
        <v>1</v>
      </c>
      <c r="I33" s="38">
        <f t="shared" si="7"/>
        <v>0</v>
      </c>
      <c r="J33" s="23">
        <v>0</v>
      </c>
      <c r="K33" s="23">
        <v>0</v>
      </c>
      <c r="L33" s="38">
        <f t="shared" si="8"/>
        <v>0</v>
      </c>
      <c r="M33" s="23">
        <v>1</v>
      </c>
      <c r="N33" s="23">
        <v>1</v>
      </c>
      <c r="O33" s="23">
        <v>0</v>
      </c>
      <c r="P33" s="23">
        <v>0</v>
      </c>
      <c r="Q33" s="23">
        <v>0</v>
      </c>
      <c r="R33" s="25">
        <v>0</v>
      </c>
    </row>
    <row r="34" spans="1:18" x14ac:dyDescent="0.25">
      <c r="A34" s="43">
        <v>42171</v>
      </c>
      <c r="B34" s="43"/>
      <c r="C34" s="22" t="s">
        <v>96</v>
      </c>
      <c r="D34" s="23">
        <v>3</v>
      </c>
      <c r="E34" s="23">
        <v>11</v>
      </c>
      <c r="F34" s="38">
        <f t="shared" si="6"/>
        <v>0.27272727272727271</v>
      </c>
      <c r="G34" s="23">
        <v>1</v>
      </c>
      <c r="H34" s="23">
        <v>3</v>
      </c>
      <c r="I34" s="38">
        <f t="shared" si="7"/>
        <v>0.33333333333333331</v>
      </c>
      <c r="J34" s="23">
        <v>1</v>
      </c>
      <c r="K34" s="23">
        <v>2</v>
      </c>
      <c r="L34" s="38">
        <f t="shared" si="8"/>
        <v>0.5</v>
      </c>
      <c r="M34" s="23">
        <v>1</v>
      </c>
      <c r="N34" s="23">
        <v>4</v>
      </c>
      <c r="O34" s="23">
        <v>0</v>
      </c>
      <c r="P34" s="23">
        <v>5</v>
      </c>
      <c r="Q34" s="23">
        <v>0</v>
      </c>
      <c r="R34" s="25">
        <v>8</v>
      </c>
    </row>
    <row r="35" spans="1:18" x14ac:dyDescent="0.25">
      <c r="A35" s="43">
        <v>42174</v>
      </c>
      <c r="B35" s="43"/>
      <c r="C35" s="22" t="s">
        <v>80</v>
      </c>
      <c r="D35" s="23">
        <v>9</v>
      </c>
      <c r="E35" s="23">
        <v>19</v>
      </c>
      <c r="F35" s="38">
        <f t="shared" ref="F35:F55" si="9">IF(E35=0,0,D35/E35)</f>
        <v>0.47368421052631576</v>
      </c>
      <c r="G35" s="23">
        <v>0</v>
      </c>
      <c r="H35" s="23">
        <v>1</v>
      </c>
      <c r="I35" s="38">
        <f t="shared" ref="I35:I55" si="10">IF(H35=0,0,G35/H35)</f>
        <v>0</v>
      </c>
      <c r="J35" s="23">
        <v>6</v>
      </c>
      <c r="K35" s="23">
        <v>7</v>
      </c>
      <c r="L35" s="38">
        <f t="shared" ref="L35:L55" si="11">IF(K35=0,0,J35/K35)</f>
        <v>0.8571428571428571</v>
      </c>
      <c r="M35" s="23">
        <v>6</v>
      </c>
      <c r="N35" s="23">
        <v>2</v>
      </c>
      <c r="O35" s="23">
        <v>0</v>
      </c>
      <c r="P35" s="23">
        <v>2</v>
      </c>
      <c r="Q35" s="23">
        <v>1</v>
      </c>
      <c r="R35" s="25">
        <v>24</v>
      </c>
    </row>
    <row r="36" spans="1:18" x14ac:dyDescent="0.25">
      <c r="A36" s="43">
        <v>42174</v>
      </c>
      <c r="B36" s="43"/>
      <c r="C36" s="22" t="s">
        <v>81</v>
      </c>
      <c r="D36" s="23">
        <v>4</v>
      </c>
      <c r="E36" s="23">
        <v>6</v>
      </c>
      <c r="F36" s="38">
        <f t="shared" si="9"/>
        <v>0.66666666666666663</v>
      </c>
      <c r="G36" s="23">
        <v>1</v>
      </c>
      <c r="H36" s="23">
        <v>2</v>
      </c>
      <c r="I36" s="38">
        <f t="shared" si="10"/>
        <v>0.5</v>
      </c>
      <c r="J36" s="23">
        <v>0</v>
      </c>
      <c r="K36" s="23">
        <v>0</v>
      </c>
      <c r="L36" s="38">
        <f t="shared" si="11"/>
        <v>0</v>
      </c>
      <c r="M36" s="23">
        <v>4</v>
      </c>
      <c r="N36" s="23">
        <v>0</v>
      </c>
      <c r="O36" s="23">
        <v>0</v>
      </c>
      <c r="P36" s="23">
        <v>1</v>
      </c>
      <c r="Q36" s="23">
        <v>0</v>
      </c>
      <c r="R36" s="25">
        <v>9</v>
      </c>
    </row>
    <row r="37" spans="1:18" x14ac:dyDescent="0.25">
      <c r="A37" s="21">
        <v>42174</v>
      </c>
      <c r="B37" s="20"/>
      <c r="C37" s="15" t="s">
        <v>97</v>
      </c>
      <c r="D37" s="16">
        <v>1</v>
      </c>
      <c r="E37" s="16">
        <v>5</v>
      </c>
      <c r="F37" s="19">
        <f t="shared" si="9"/>
        <v>0.2</v>
      </c>
      <c r="G37" s="16">
        <v>0</v>
      </c>
      <c r="H37" s="16">
        <v>0</v>
      </c>
      <c r="I37" s="19">
        <f t="shared" si="10"/>
        <v>0</v>
      </c>
      <c r="J37" s="16">
        <v>3</v>
      </c>
      <c r="K37" s="16">
        <v>4</v>
      </c>
      <c r="L37" s="19">
        <f t="shared" si="11"/>
        <v>0.75</v>
      </c>
      <c r="M37" s="16">
        <v>3</v>
      </c>
      <c r="N37" s="16">
        <v>0</v>
      </c>
      <c r="O37" s="16">
        <v>0</v>
      </c>
      <c r="P37" s="16">
        <v>1</v>
      </c>
      <c r="Q37" s="16">
        <v>2</v>
      </c>
      <c r="R37" s="16">
        <v>5</v>
      </c>
    </row>
    <row r="38" spans="1:18" x14ac:dyDescent="0.25">
      <c r="A38" s="21">
        <v>42174</v>
      </c>
      <c r="B38" s="20"/>
      <c r="C38" s="15" t="s">
        <v>101</v>
      </c>
      <c r="D38" s="16">
        <v>0</v>
      </c>
      <c r="E38" s="16">
        <v>10</v>
      </c>
      <c r="F38" s="19">
        <f t="shared" si="9"/>
        <v>0</v>
      </c>
      <c r="G38" s="16">
        <v>0</v>
      </c>
      <c r="H38" s="16">
        <v>1</v>
      </c>
      <c r="I38" s="19">
        <f t="shared" si="10"/>
        <v>0</v>
      </c>
      <c r="J38" s="16">
        <v>0</v>
      </c>
      <c r="K38" s="16">
        <v>0</v>
      </c>
      <c r="L38" s="19">
        <f t="shared" si="11"/>
        <v>0</v>
      </c>
      <c r="M38" s="16">
        <v>8</v>
      </c>
      <c r="N38" s="16">
        <v>2</v>
      </c>
      <c r="O38" s="16">
        <v>0</v>
      </c>
      <c r="P38" s="16">
        <v>0</v>
      </c>
      <c r="Q38" s="16">
        <v>0</v>
      </c>
      <c r="R38" s="16">
        <v>0</v>
      </c>
    </row>
    <row r="39" spans="1:18" x14ac:dyDescent="0.25">
      <c r="A39" s="21">
        <v>42174</v>
      </c>
      <c r="B39" s="20"/>
      <c r="C39" s="15" t="s">
        <v>79</v>
      </c>
      <c r="D39" s="16">
        <v>8</v>
      </c>
      <c r="E39" s="16">
        <v>17</v>
      </c>
      <c r="F39" s="19">
        <f t="shared" si="9"/>
        <v>0.47058823529411764</v>
      </c>
      <c r="G39" s="16">
        <v>1</v>
      </c>
      <c r="H39" s="16">
        <v>5</v>
      </c>
      <c r="I39" s="19">
        <f t="shared" si="10"/>
        <v>0.2</v>
      </c>
      <c r="J39" s="16">
        <v>9</v>
      </c>
      <c r="K39" s="16">
        <v>9</v>
      </c>
      <c r="L39" s="19">
        <f t="shared" si="11"/>
        <v>1</v>
      </c>
      <c r="M39" s="16">
        <v>10</v>
      </c>
      <c r="N39" s="16">
        <v>3</v>
      </c>
      <c r="O39" s="16">
        <v>0</v>
      </c>
      <c r="P39" s="16">
        <v>1</v>
      </c>
      <c r="Q39" s="16">
        <v>0</v>
      </c>
      <c r="R39" s="16">
        <v>26</v>
      </c>
    </row>
    <row r="40" spans="1:18" x14ac:dyDescent="0.25">
      <c r="A40" s="21">
        <v>42175</v>
      </c>
      <c r="B40" s="20"/>
      <c r="C40" s="15" t="s">
        <v>79</v>
      </c>
      <c r="D40" s="16">
        <v>13</v>
      </c>
      <c r="E40" s="16">
        <v>21</v>
      </c>
      <c r="F40" s="19">
        <f t="shared" si="9"/>
        <v>0.61904761904761907</v>
      </c>
      <c r="G40" s="16">
        <v>0</v>
      </c>
      <c r="H40" s="16">
        <v>3</v>
      </c>
      <c r="I40" s="19">
        <f t="shared" si="10"/>
        <v>0</v>
      </c>
      <c r="J40" s="16">
        <v>2</v>
      </c>
      <c r="K40" s="16">
        <v>2</v>
      </c>
      <c r="L40" s="19">
        <f t="shared" si="11"/>
        <v>1</v>
      </c>
      <c r="M40" s="16">
        <v>13</v>
      </c>
      <c r="N40" s="16">
        <v>0</v>
      </c>
      <c r="O40" s="16">
        <v>1</v>
      </c>
      <c r="P40" s="16">
        <v>2</v>
      </c>
      <c r="Q40" s="16">
        <v>4</v>
      </c>
      <c r="R40" s="16">
        <v>28</v>
      </c>
    </row>
    <row r="41" spans="1:18" x14ac:dyDescent="0.25">
      <c r="A41" s="43">
        <v>42175</v>
      </c>
      <c r="B41" s="43"/>
      <c r="C41" s="22" t="s">
        <v>97</v>
      </c>
      <c r="D41" s="23">
        <v>4</v>
      </c>
      <c r="E41" s="23">
        <v>7</v>
      </c>
      <c r="F41" s="38">
        <f t="shared" si="9"/>
        <v>0.5714285714285714</v>
      </c>
      <c r="G41" s="23">
        <v>0</v>
      </c>
      <c r="H41" s="23">
        <v>0</v>
      </c>
      <c r="I41" s="38">
        <f t="shared" si="10"/>
        <v>0</v>
      </c>
      <c r="J41" s="23">
        <v>5</v>
      </c>
      <c r="K41" s="23">
        <v>7</v>
      </c>
      <c r="L41" s="38">
        <f t="shared" si="11"/>
        <v>0.7142857142857143</v>
      </c>
      <c r="M41" s="23">
        <v>3</v>
      </c>
      <c r="N41" s="23">
        <v>0</v>
      </c>
      <c r="O41" s="23">
        <v>0</v>
      </c>
      <c r="P41" s="23">
        <v>3</v>
      </c>
      <c r="Q41" s="23">
        <v>0</v>
      </c>
      <c r="R41" s="25">
        <v>13</v>
      </c>
    </row>
    <row r="42" spans="1:18" x14ac:dyDescent="0.25">
      <c r="A42" s="43">
        <v>42175</v>
      </c>
      <c r="B42" s="43"/>
      <c r="C42" s="22" t="s">
        <v>101</v>
      </c>
      <c r="D42" s="23">
        <v>1</v>
      </c>
      <c r="E42" s="23">
        <v>8</v>
      </c>
      <c r="F42" s="38">
        <f t="shared" si="9"/>
        <v>0.125</v>
      </c>
      <c r="G42" s="23">
        <v>1</v>
      </c>
      <c r="H42" s="23">
        <v>3</v>
      </c>
      <c r="I42" s="38">
        <f t="shared" si="10"/>
        <v>0.33333333333333331</v>
      </c>
      <c r="J42" s="23">
        <v>2</v>
      </c>
      <c r="K42" s="23">
        <v>2</v>
      </c>
      <c r="L42" s="38">
        <f t="shared" si="11"/>
        <v>1</v>
      </c>
      <c r="M42" s="23">
        <v>5</v>
      </c>
      <c r="N42" s="23">
        <v>3</v>
      </c>
      <c r="O42" s="23">
        <v>1</v>
      </c>
      <c r="P42" s="23">
        <v>3</v>
      </c>
      <c r="Q42" s="23">
        <v>0</v>
      </c>
      <c r="R42" s="25">
        <v>5</v>
      </c>
    </row>
    <row r="43" spans="1:18" x14ac:dyDescent="0.25">
      <c r="A43" s="43">
        <v>42175</v>
      </c>
      <c r="B43" s="43"/>
      <c r="C43" s="22" t="s">
        <v>82</v>
      </c>
      <c r="D43" s="23">
        <v>5</v>
      </c>
      <c r="E43" s="23">
        <v>8</v>
      </c>
      <c r="F43" s="38">
        <f t="shared" si="9"/>
        <v>0.625</v>
      </c>
      <c r="G43" s="23">
        <v>1</v>
      </c>
      <c r="H43" s="23">
        <v>1</v>
      </c>
      <c r="I43" s="38">
        <f t="shared" si="10"/>
        <v>1</v>
      </c>
      <c r="J43" s="23">
        <v>2</v>
      </c>
      <c r="K43" s="23">
        <v>2</v>
      </c>
      <c r="L43" s="38">
        <f t="shared" si="11"/>
        <v>1</v>
      </c>
      <c r="M43" s="23">
        <v>4</v>
      </c>
      <c r="N43" s="23">
        <v>1</v>
      </c>
      <c r="O43" s="23">
        <v>1</v>
      </c>
      <c r="P43" s="23">
        <v>1</v>
      </c>
      <c r="Q43" s="23">
        <v>0</v>
      </c>
      <c r="R43" s="25">
        <v>13</v>
      </c>
    </row>
    <row r="44" spans="1:18" x14ac:dyDescent="0.25">
      <c r="A44" s="43">
        <v>42176</v>
      </c>
      <c r="B44" s="43"/>
      <c r="C44" s="22" t="s">
        <v>83</v>
      </c>
      <c r="D44" s="23">
        <v>1</v>
      </c>
      <c r="E44" s="23">
        <v>1</v>
      </c>
      <c r="F44" s="38">
        <f t="shared" si="9"/>
        <v>1</v>
      </c>
      <c r="G44" s="23">
        <v>1</v>
      </c>
      <c r="H44" s="23">
        <v>1</v>
      </c>
      <c r="I44" s="38">
        <f t="shared" si="10"/>
        <v>1</v>
      </c>
      <c r="J44" s="23">
        <v>0</v>
      </c>
      <c r="K44" s="23">
        <v>0</v>
      </c>
      <c r="L44" s="38">
        <f t="shared" si="11"/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5">
        <v>3</v>
      </c>
    </row>
    <row r="45" spans="1:18" x14ac:dyDescent="0.25">
      <c r="A45" s="43">
        <v>42176</v>
      </c>
      <c r="B45" s="43"/>
      <c r="C45" s="22" t="s">
        <v>80</v>
      </c>
      <c r="D45" s="23">
        <v>4</v>
      </c>
      <c r="E45" s="23">
        <v>10</v>
      </c>
      <c r="F45" s="38">
        <f t="shared" si="9"/>
        <v>0.4</v>
      </c>
      <c r="G45" s="23">
        <v>0</v>
      </c>
      <c r="H45" s="23">
        <v>1</v>
      </c>
      <c r="I45" s="38">
        <f t="shared" si="10"/>
        <v>0</v>
      </c>
      <c r="J45" s="23">
        <v>1</v>
      </c>
      <c r="K45" s="23">
        <v>1</v>
      </c>
      <c r="L45" s="38">
        <f t="shared" si="11"/>
        <v>1</v>
      </c>
      <c r="M45" s="23">
        <v>9</v>
      </c>
      <c r="N45" s="23">
        <v>4</v>
      </c>
      <c r="O45" s="23">
        <v>1</v>
      </c>
      <c r="P45" s="23">
        <v>2</v>
      </c>
      <c r="Q45" s="23">
        <v>0</v>
      </c>
      <c r="R45" s="25">
        <v>9</v>
      </c>
    </row>
    <row r="46" spans="1:18" x14ac:dyDescent="0.25">
      <c r="A46" s="43">
        <v>42176</v>
      </c>
      <c r="B46" s="43"/>
      <c r="C46" s="22" t="s">
        <v>96</v>
      </c>
      <c r="D46" s="23">
        <v>5</v>
      </c>
      <c r="E46" s="23">
        <v>14</v>
      </c>
      <c r="F46" s="38">
        <f t="shared" si="9"/>
        <v>0.35714285714285715</v>
      </c>
      <c r="G46" s="23">
        <v>1</v>
      </c>
      <c r="H46" s="23">
        <v>6</v>
      </c>
      <c r="I46" s="38">
        <f t="shared" si="10"/>
        <v>0.16666666666666666</v>
      </c>
      <c r="J46" s="23">
        <v>0</v>
      </c>
      <c r="K46" s="23">
        <v>0</v>
      </c>
      <c r="L46" s="38">
        <f t="shared" si="11"/>
        <v>0</v>
      </c>
      <c r="M46" s="23">
        <v>3</v>
      </c>
      <c r="N46" s="23">
        <v>8</v>
      </c>
      <c r="O46" s="23">
        <v>2</v>
      </c>
      <c r="P46" s="23">
        <v>3</v>
      </c>
      <c r="Q46" s="23">
        <v>0</v>
      </c>
      <c r="R46" s="25">
        <v>11</v>
      </c>
    </row>
    <row r="47" spans="1:18" x14ac:dyDescent="0.25">
      <c r="A47" s="43">
        <v>42176</v>
      </c>
      <c r="B47" s="43"/>
      <c r="C47" s="22" t="s">
        <v>81</v>
      </c>
      <c r="D47" s="23">
        <v>0</v>
      </c>
      <c r="E47" s="23">
        <v>1</v>
      </c>
      <c r="F47" s="38">
        <f t="shared" si="9"/>
        <v>0</v>
      </c>
      <c r="G47" s="23">
        <v>0</v>
      </c>
      <c r="H47" s="23">
        <v>1</v>
      </c>
      <c r="I47" s="38">
        <f t="shared" si="10"/>
        <v>0</v>
      </c>
      <c r="J47" s="23">
        <v>0</v>
      </c>
      <c r="K47" s="23">
        <v>0</v>
      </c>
      <c r="L47" s="38">
        <f t="shared" si="11"/>
        <v>0</v>
      </c>
      <c r="M47" s="23">
        <v>2</v>
      </c>
      <c r="N47" s="23">
        <v>0</v>
      </c>
      <c r="O47" s="23">
        <v>0</v>
      </c>
      <c r="P47" s="23">
        <v>0</v>
      </c>
      <c r="Q47" s="23">
        <v>0</v>
      </c>
      <c r="R47" s="25">
        <v>0</v>
      </c>
    </row>
    <row r="48" spans="1:18" x14ac:dyDescent="0.25">
      <c r="A48" s="43">
        <v>42179</v>
      </c>
      <c r="B48" s="43"/>
      <c r="C48" s="22" t="s">
        <v>79</v>
      </c>
      <c r="D48" s="23">
        <v>12</v>
      </c>
      <c r="E48" s="23">
        <v>20</v>
      </c>
      <c r="F48" s="38">
        <f t="shared" si="9"/>
        <v>0.6</v>
      </c>
      <c r="G48" s="23">
        <v>2</v>
      </c>
      <c r="H48" s="23">
        <v>4</v>
      </c>
      <c r="I48" s="38">
        <f t="shared" si="10"/>
        <v>0.5</v>
      </c>
      <c r="J48" s="23">
        <v>19</v>
      </c>
      <c r="K48" s="23">
        <v>19</v>
      </c>
      <c r="L48" s="38">
        <f t="shared" si="11"/>
        <v>1</v>
      </c>
      <c r="M48" s="23">
        <v>11</v>
      </c>
      <c r="N48" s="23">
        <v>0</v>
      </c>
      <c r="O48" s="23">
        <v>2</v>
      </c>
      <c r="P48" s="23">
        <v>5</v>
      </c>
      <c r="Q48" s="23">
        <v>6</v>
      </c>
      <c r="R48" s="25">
        <v>45</v>
      </c>
    </row>
    <row r="49" spans="1:18" x14ac:dyDescent="0.25">
      <c r="A49" s="43">
        <v>42180</v>
      </c>
      <c r="B49" s="43"/>
      <c r="C49" s="22" t="s">
        <v>82</v>
      </c>
      <c r="D49" s="23">
        <v>3</v>
      </c>
      <c r="E49" s="23">
        <v>6</v>
      </c>
      <c r="F49" s="38">
        <f t="shared" si="9"/>
        <v>0.5</v>
      </c>
      <c r="G49" s="23">
        <v>0</v>
      </c>
      <c r="H49" s="23">
        <v>1</v>
      </c>
      <c r="I49" s="38">
        <f t="shared" si="10"/>
        <v>0</v>
      </c>
      <c r="J49" s="23">
        <v>0</v>
      </c>
      <c r="K49" s="23">
        <v>0</v>
      </c>
      <c r="L49" s="38">
        <f t="shared" si="11"/>
        <v>0</v>
      </c>
      <c r="M49" s="23">
        <v>14</v>
      </c>
      <c r="N49" s="23">
        <v>1</v>
      </c>
      <c r="O49" s="23">
        <v>0</v>
      </c>
      <c r="P49" s="23">
        <v>3</v>
      </c>
      <c r="Q49" s="23">
        <v>1</v>
      </c>
      <c r="R49" s="25">
        <v>6</v>
      </c>
    </row>
    <row r="50" spans="1:18" x14ac:dyDescent="0.25">
      <c r="A50" s="43">
        <v>42180</v>
      </c>
      <c r="B50" s="43"/>
      <c r="C50" s="22" t="s">
        <v>96</v>
      </c>
      <c r="D50" s="23">
        <v>7</v>
      </c>
      <c r="E50" s="23">
        <v>12</v>
      </c>
      <c r="F50" s="38">
        <f t="shared" si="9"/>
        <v>0.58333333333333337</v>
      </c>
      <c r="G50" s="23">
        <v>2</v>
      </c>
      <c r="H50" s="23">
        <v>6</v>
      </c>
      <c r="I50" s="38">
        <f t="shared" si="10"/>
        <v>0.33333333333333331</v>
      </c>
      <c r="J50" s="23">
        <v>0</v>
      </c>
      <c r="K50" s="23">
        <v>0</v>
      </c>
      <c r="L50" s="38">
        <f t="shared" si="11"/>
        <v>0</v>
      </c>
      <c r="M50" s="23">
        <v>4</v>
      </c>
      <c r="N50" s="23">
        <v>5</v>
      </c>
      <c r="O50" s="23">
        <v>0</v>
      </c>
      <c r="P50" s="23">
        <v>2</v>
      </c>
      <c r="Q50" s="23">
        <v>0</v>
      </c>
      <c r="R50" s="25">
        <v>16</v>
      </c>
    </row>
    <row r="51" spans="1:18" x14ac:dyDescent="0.25">
      <c r="A51" s="43">
        <v>42181</v>
      </c>
      <c r="B51" s="43"/>
      <c r="C51" s="22" t="s">
        <v>79</v>
      </c>
      <c r="D51" s="23">
        <v>4</v>
      </c>
      <c r="E51" s="23">
        <v>13</v>
      </c>
      <c r="F51" s="38">
        <f t="shared" si="9"/>
        <v>0.30769230769230771</v>
      </c>
      <c r="G51" s="23">
        <v>0</v>
      </c>
      <c r="H51" s="23">
        <v>1</v>
      </c>
      <c r="I51" s="38">
        <f t="shared" si="10"/>
        <v>0</v>
      </c>
      <c r="J51" s="23">
        <v>6</v>
      </c>
      <c r="K51" s="23">
        <v>6</v>
      </c>
      <c r="L51" s="38">
        <f t="shared" si="11"/>
        <v>1</v>
      </c>
      <c r="M51" s="23">
        <v>14</v>
      </c>
      <c r="N51" s="23">
        <v>3</v>
      </c>
      <c r="O51" s="23">
        <v>3</v>
      </c>
      <c r="P51" s="23">
        <v>1</v>
      </c>
      <c r="Q51" s="23">
        <v>3</v>
      </c>
      <c r="R51" s="25">
        <v>14</v>
      </c>
    </row>
    <row r="52" spans="1:18" x14ac:dyDescent="0.25">
      <c r="A52" s="43">
        <v>42181</v>
      </c>
      <c r="B52" s="43"/>
      <c r="C52" s="22" t="s">
        <v>101</v>
      </c>
      <c r="D52" s="23">
        <v>4</v>
      </c>
      <c r="E52" s="23">
        <v>10</v>
      </c>
      <c r="F52" s="38">
        <f t="shared" si="9"/>
        <v>0.4</v>
      </c>
      <c r="G52" s="23">
        <v>1</v>
      </c>
      <c r="H52" s="23">
        <v>1</v>
      </c>
      <c r="I52" s="38">
        <f t="shared" si="10"/>
        <v>1</v>
      </c>
      <c r="J52" s="23">
        <v>4</v>
      </c>
      <c r="K52" s="23">
        <v>4</v>
      </c>
      <c r="L52" s="38">
        <f t="shared" si="11"/>
        <v>1</v>
      </c>
      <c r="M52" s="23">
        <v>7</v>
      </c>
      <c r="N52" s="23">
        <v>2</v>
      </c>
      <c r="O52" s="23">
        <v>3</v>
      </c>
      <c r="P52" s="23">
        <v>1</v>
      </c>
      <c r="Q52" s="23">
        <v>0</v>
      </c>
      <c r="R52" s="25">
        <v>13</v>
      </c>
    </row>
    <row r="53" spans="1:18" x14ac:dyDescent="0.25">
      <c r="A53" s="43">
        <v>42181</v>
      </c>
      <c r="B53" s="43"/>
      <c r="C53" s="22" t="s">
        <v>121</v>
      </c>
      <c r="D53" s="23">
        <v>1</v>
      </c>
      <c r="E53" s="23">
        <v>3</v>
      </c>
      <c r="F53" s="38">
        <f t="shared" si="9"/>
        <v>0.33333333333333331</v>
      </c>
      <c r="G53" s="23">
        <v>1</v>
      </c>
      <c r="H53" s="23">
        <v>2</v>
      </c>
      <c r="I53" s="38">
        <f t="shared" si="10"/>
        <v>0.5</v>
      </c>
      <c r="J53" s="23">
        <v>0</v>
      </c>
      <c r="K53" s="23">
        <v>0</v>
      </c>
      <c r="L53" s="38">
        <f t="shared" si="11"/>
        <v>0</v>
      </c>
      <c r="M53" s="23">
        <v>4</v>
      </c>
      <c r="N53" s="23">
        <v>3</v>
      </c>
      <c r="O53" s="23">
        <v>0</v>
      </c>
      <c r="P53" s="23">
        <v>3</v>
      </c>
      <c r="Q53" s="23">
        <v>0</v>
      </c>
      <c r="R53" s="25">
        <v>3</v>
      </c>
    </row>
    <row r="54" spans="1:18" x14ac:dyDescent="0.25">
      <c r="A54" s="43">
        <v>42181</v>
      </c>
      <c r="B54" s="43"/>
      <c r="C54" s="22" t="s">
        <v>81</v>
      </c>
      <c r="D54" s="23">
        <v>2</v>
      </c>
      <c r="E54" s="23">
        <v>7</v>
      </c>
      <c r="F54" s="38">
        <f t="shared" si="9"/>
        <v>0.2857142857142857</v>
      </c>
      <c r="G54" s="23">
        <v>1</v>
      </c>
      <c r="H54" s="23">
        <v>2</v>
      </c>
      <c r="I54" s="38">
        <f t="shared" si="10"/>
        <v>0.5</v>
      </c>
      <c r="J54" s="23">
        <v>2</v>
      </c>
      <c r="K54" s="23">
        <v>2</v>
      </c>
      <c r="L54" s="38">
        <f t="shared" si="11"/>
        <v>1</v>
      </c>
      <c r="M54" s="23">
        <v>4</v>
      </c>
      <c r="N54" s="23">
        <v>1</v>
      </c>
      <c r="O54" s="23">
        <v>0</v>
      </c>
      <c r="P54" s="23">
        <v>1</v>
      </c>
      <c r="Q54" s="23">
        <v>0</v>
      </c>
      <c r="R54" s="25">
        <v>7</v>
      </c>
    </row>
    <row r="55" spans="1:18" x14ac:dyDescent="0.25">
      <c r="A55" s="43">
        <v>42181</v>
      </c>
      <c r="B55" s="43"/>
      <c r="C55" s="22" t="s">
        <v>80</v>
      </c>
      <c r="D55" s="23">
        <v>3</v>
      </c>
      <c r="E55" s="23">
        <v>10</v>
      </c>
      <c r="F55" s="38">
        <f t="shared" si="9"/>
        <v>0.3</v>
      </c>
      <c r="G55" s="23">
        <v>1</v>
      </c>
      <c r="H55" s="23">
        <v>4</v>
      </c>
      <c r="I55" s="38">
        <f t="shared" si="10"/>
        <v>0.25</v>
      </c>
      <c r="J55" s="23">
        <v>2</v>
      </c>
      <c r="K55" s="23">
        <v>2</v>
      </c>
      <c r="L55" s="38">
        <f t="shared" si="11"/>
        <v>1</v>
      </c>
      <c r="M55" s="23">
        <v>1</v>
      </c>
      <c r="N55" s="23">
        <v>2</v>
      </c>
      <c r="O55" s="23">
        <v>2</v>
      </c>
      <c r="P55" s="23">
        <v>4</v>
      </c>
      <c r="Q55" s="23">
        <v>0</v>
      </c>
      <c r="R55" s="25">
        <v>9</v>
      </c>
    </row>
    <row r="56" spans="1:18" x14ac:dyDescent="0.25">
      <c r="A56" s="43">
        <v>42182</v>
      </c>
      <c r="B56" s="43"/>
      <c r="C56" s="22" t="s">
        <v>96</v>
      </c>
      <c r="D56" s="23">
        <v>4</v>
      </c>
      <c r="E56" s="23">
        <v>14</v>
      </c>
      <c r="F56" s="38">
        <f t="shared" ref="F56:F78" si="12">IF(E56=0,0,D56/E56)</f>
        <v>0.2857142857142857</v>
      </c>
      <c r="G56" s="23">
        <v>2</v>
      </c>
      <c r="H56" s="23">
        <v>5</v>
      </c>
      <c r="I56" s="38">
        <f t="shared" ref="I56:I78" si="13">IF(H56=0,0,G56/H56)</f>
        <v>0.4</v>
      </c>
      <c r="J56" s="23">
        <v>4</v>
      </c>
      <c r="K56" s="23">
        <v>4</v>
      </c>
      <c r="L56" s="38">
        <f t="shared" ref="L56:L78" si="14">IF(K56=0,0,J56/K56)</f>
        <v>1</v>
      </c>
      <c r="M56" s="23">
        <v>5</v>
      </c>
      <c r="N56" s="23">
        <v>7</v>
      </c>
      <c r="O56" s="23">
        <v>0</v>
      </c>
      <c r="P56" s="23">
        <v>2</v>
      </c>
      <c r="Q56" s="23">
        <v>0</v>
      </c>
      <c r="R56" s="25">
        <v>14</v>
      </c>
    </row>
    <row r="57" spans="1:18" x14ac:dyDescent="0.25">
      <c r="A57" s="43">
        <v>42182</v>
      </c>
      <c r="B57" s="43"/>
      <c r="C57" s="22" t="s">
        <v>82</v>
      </c>
      <c r="D57" s="23">
        <v>2</v>
      </c>
      <c r="E57" s="23">
        <v>7</v>
      </c>
      <c r="F57" s="38">
        <f t="shared" si="12"/>
        <v>0.2857142857142857</v>
      </c>
      <c r="G57" s="23">
        <v>0</v>
      </c>
      <c r="H57" s="23">
        <v>0</v>
      </c>
      <c r="I57" s="38">
        <f t="shared" si="13"/>
        <v>0</v>
      </c>
      <c r="J57" s="23">
        <v>0</v>
      </c>
      <c r="K57" s="23">
        <v>1</v>
      </c>
      <c r="L57" s="38">
        <f t="shared" si="14"/>
        <v>0</v>
      </c>
      <c r="M57" s="23">
        <v>6</v>
      </c>
      <c r="N57" s="23">
        <v>1</v>
      </c>
      <c r="O57" s="23">
        <v>0</v>
      </c>
      <c r="P57" s="23">
        <v>2</v>
      </c>
      <c r="Q57" s="23">
        <v>0</v>
      </c>
      <c r="R57" s="25">
        <v>4</v>
      </c>
    </row>
    <row r="58" spans="1:18" x14ac:dyDescent="0.25">
      <c r="A58" s="43">
        <v>42182</v>
      </c>
      <c r="B58" s="43"/>
      <c r="C58" s="22" t="s">
        <v>83</v>
      </c>
      <c r="D58" s="23">
        <v>0</v>
      </c>
      <c r="E58" s="23">
        <v>0</v>
      </c>
      <c r="F58" s="38">
        <f t="shared" si="12"/>
        <v>0</v>
      </c>
      <c r="G58" s="23">
        <v>0</v>
      </c>
      <c r="H58" s="23">
        <v>0</v>
      </c>
      <c r="I58" s="38">
        <f t="shared" si="13"/>
        <v>0</v>
      </c>
      <c r="J58" s="23">
        <v>0</v>
      </c>
      <c r="K58" s="23">
        <v>0</v>
      </c>
      <c r="L58" s="38">
        <f t="shared" si="14"/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5">
        <v>0</v>
      </c>
    </row>
    <row r="59" spans="1:18" x14ac:dyDescent="0.25">
      <c r="A59" s="43">
        <v>42183</v>
      </c>
      <c r="B59" s="43"/>
      <c r="C59" s="22" t="s">
        <v>79</v>
      </c>
      <c r="D59" s="23">
        <v>9</v>
      </c>
      <c r="E59" s="23">
        <v>17</v>
      </c>
      <c r="F59" s="38">
        <f t="shared" si="12"/>
        <v>0.52941176470588236</v>
      </c>
      <c r="G59" s="23">
        <v>0</v>
      </c>
      <c r="H59" s="23">
        <v>3</v>
      </c>
      <c r="I59" s="38">
        <f t="shared" si="13"/>
        <v>0</v>
      </c>
      <c r="J59" s="23">
        <v>8</v>
      </c>
      <c r="K59" s="23">
        <v>8</v>
      </c>
      <c r="L59" s="38">
        <f t="shared" si="14"/>
        <v>1</v>
      </c>
      <c r="M59" s="23">
        <v>7</v>
      </c>
      <c r="N59" s="23">
        <v>3</v>
      </c>
      <c r="O59" s="23">
        <v>2</v>
      </c>
      <c r="P59" s="23">
        <v>1</v>
      </c>
      <c r="Q59" s="23">
        <v>1</v>
      </c>
      <c r="R59" s="25">
        <v>26</v>
      </c>
    </row>
    <row r="60" spans="1:18" x14ac:dyDescent="0.25">
      <c r="A60" s="43">
        <v>42183</v>
      </c>
      <c r="B60" s="43"/>
      <c r="C60" s="22" t="s">
        <v>81</v>
      </c>
      <c r="D60" s="23">
        <v>1</v>
      </c>
      <c r="E60" s="23">
        <v>2</v>
      </c>
      <c r="F60" s="38">
        <f t="shared" si="12"/>
        <v>0.5</v>
      </c>
      <c r="G60" s="23">
        <v>1</v>
      </c>
      <c r="H60" s="23">
        <v>2</v>
      </c>
      <c r="I60" s="38">
        <f t="shared" si="13"/>
        <v>0.5</v>
      </c>
      <c r="J60" s="23">
        <v>0</v>
      </c>
      <c r="K60" s="23">
        <v>0</v>
      </c>
      <c r="L60" s="38">
        <f t="shared" si="14"/>
        <v>0</v>
      </c>
      <c r="M60" s="23">
        <v>0</v>
      </c>
      <c r="N60" s="23">
        <v>1</v>
      </c>
      <c r="O60" s="23">
        <v>0</v>
      </c>
      <c r="P60" s="23">
        <v>1</v>
      </c>
      <c r="Q60" s="23">
        <v>1</v>
      </c>
      <c r="R60" s="25">
        <v>3</v>
      </c>
    </row>
    <row r="61" spans="1:18" x14ac:dyDescent="0.25">
      <c r="A61" s="43">
        <v>42183</v>
      </c>
      <c r="B61" s="43"/>
      <c r="C61" s="22" t="s">
        <v>80</v>
      </c>
      <c r="D61" s="23">
        <v>6</v>
      </c>
      <c r="E61" s="23">
        <v>11</v>
      </c>
      <c r="F61" s="38">
        <f t="shared" si="12"/>
        <v>0.54545454545454541</v>
      </c>
      <c r="G61" s="23">
        <v>1</v>
      </c>
      <c r="H61" s="23">
        <v>2</v>
      </c>
      <c r="I61" s="38">
        <f t="shared" si="13"/>
        <v>0.5</v>
      </c>
      <c r="J61" s="23">
        <v>6</v>
      </c>
      <c r="K61" s="23">
        <v>6</v>
      </c>
      <c r="L61" s="38">
        <f t="shared" si="14"/>
        <v>1</v>
      </c>
      <c r="M61" s="23">
        <v>7</v>
      </c>
      <c r="N61" s="23">
        <v>2</v>
      </c>
      <c r="O61" s="23">
        <v>0</v>
      </c>
      <c r="P61" s="23">
        <v>5</v>
      </c>
      <c r="Q61" s="23">
        <v>0</v>
      </c>
      <c r="R61" s="25">
        <v>19</v>
      </c>
    </row>
    <row r="62" spans="1:18" x14ac:dyDescent="0.25">
      <c r="A62" s="43">
        <v>42185</v>
      </c>
      <c r="B62" s="43"/>
      <c r="C62" s="22" t="s">
        <v>79</v>
      </c>
      <c r="D62" s="23">
        <v>8</v>
      </c>
      <c r="E62" s="23">
        <v>20</v>
      </c>
      <c r="F62" s="38">
        <f t="shared" si="12"/>
        <v>0.4</v>
      </c>
      <c r="G62" s="23">
        <v>0</v>
      </c>
      <c r="H62" s="23">
        <v>3</v>
      </c>
      <c r="I62" s="38">
        <f t="shared" si="13"/>
        <v>0</v>
      </c>
      <c r="J62" s="23">
        <v>10</v>
      </c>
      <c r="K62" s="23">
        <v>10</v>
      </c>
      <c r="L62" s="38">
        <f t="shared" si="14"/>
        <v>1</v>
      </c>
      <c r="M62" s="23">
        <v>13</v>
      </c>
      <c r="N62" s="23">
        <v>1</v>
      </c>
      <c r="O62" s="23">
        <v>0</v>
      </c>
      <c r="P62" s="23">
        <v>1</v>
      </c>
      <c r="Q62" s="23">
        <v>2</v>
      </c>
      <c r="R62" s="25">
        <v>26</v>
      </c>
    </row>
    <row r="63" spans="1:18" x14ac:dyDescent="0.25">
      <c r="A63" s="43">
        <v>42185</v>
      </c>
      <c r="B63" s="43"/>
      <c r="C63" s="22" t="s">
        <v>96</v>
      </c>
      <c r="D63" s="23">
        <v>7</v>
      </c>
      <c r="E63" s="23">
        <v>13</v>
      </c>
      <c r="F63" s="38">
        <f t="shared" si="12"/>
        <v>0.53846153846153844</v>
      </c>
      <c r="G63" s="23">
        <v>2</v>
      </c>
      <c r="H63" s="23">
        <v>4</v>
      </c>
      <c r="I63" s="38">
        <f t="shared" si="13"/>
        <v>0.5</v>
      </c>
      <c r="J63" s="23">
        <v>1</v>
      </c>
      <c r="K63" s="23">
        <v>2</v>
      </c>
      <c r="L63" s="38">
        <f t="shared" si="14"/>
        <v>0.5</v>
      </c>
      <c r="M63" s="23">
        <v>4</v>
      </c>
      <c r="N63" s="23">
        <v>3</v>
      </c>
      <c r="O63" s="23">
        <v>0</v>
      </c>
      <c r="P63" s="23">
        <v>0</v>
      </c>
      <c r="Q63" s="23">
        <v>0</v>
      </c>
      <c r="R63" s="25">
        <v>17</v>
      </c>
    </row>
    <row r="64" spans="1:18" x14ac:dyDescent="0.25">
      <c r="A64" s="43">
        <v>42185</v>
      </c>
      <c r="B64" s="43"/>
      <c r="C64" s="22" t="s">
        <v>82</v>
      </c>
      <c r="D64" s="23">
        <v>3</v>
      </c>
      <c r="E64" s="23">
        <v>9</v>
      </c>
      <c r="F64" s="38">
        <f t="shared" si="12"/>
        <v>0.33333333333333331</v>
      </c>
      <c r="G64" s="23">
        <v>0</v>
      </c>
      <c r="H64" s="23">
        <v>1</v>
      </c>
      <c r="I64" s="38">
        <f t="shared" si="13"/>
        <v>0</v>
      </c>
      <c r="J64" s="23">
        <v>0</v>
      </c>
      <c r="K64" s="23">
        <v>0</v>
      </c>
      <c r="L64" s="38">
        <f t="shared" si="14"/>
        <v>0</v>
      </c>
      <c r="M64" s="23">
        <v>5</v>
      </c>
      <c r="N64" s="23">
        <v>2</v>
      </c>
      <c r="O64" s="23">
        <v>0</v>
      </c>
      <c r="P64" s="23">
        <v>3</v>
      </c>
      <c r="Q64" s="23">
        <v>0</v>
      </c>
      <c r="R64" s="25">
        <v>6</v>
      </c>
    </row>
    <row r="65" spans="1:18" x14ac:dyDescent="0.25">
      <c r="A65" s="43">
        <v>42185</v>
      </c>
      <c r="B65" s="43"/>
      <c r="C65" s="22" t="s">
        <v>101</v>
      </c>
      <c r="D65" s="23">
        <v>9</v>
      </c>
      <c r="E65" s="23">
        <v>10</v>
      </c>
      <c r="F65" s="38">
        <f t="shared" si="12"/>
        <v>0.9</v>
      </c>
      <c r="G65" s="23">
        <v>4</v>
      </c>
      <c r="H65" s="23">
        <v>4</v>
      </c>
      <c r="I65" s="38">
        <f t="shared" si="13"/>
        <v>1</v>
      </c>
      <c r="J65" s="23">
        <v>4</v>
      </c>
      <c r="K65" s="23">
        <v>4</v>
      </c>
      <c r="L65" s="38">
        <f t="shared" si="14"/>
        <v>1</v>
      </c>
      <c r="M65" s="23">
        <v>10</v>
      </c>
      <c r="N65" s="23">
        <v>2</v>
      </c>
      <c r="O65" s="23">
        <v>1</v>
      </c>
      <c r="P65" s="23">
        <v>5</v>
      </c>
      <c r="Q65" s="23">
        <v>0</v>
      </c>
      <c r="R65" s="25">
        <v>26</v>
      </c>
    </row>
    <row r="66" spans="1:18" x14ac:dyDescent="0.25">
      <c r="A66" s="43">
        <v>42185</v>
      </c>
      <c r="B66" s="43"/>
      <c r="C66" s="22" t="s">
        <v>80</v>
      </c>
      <c r="D66" s="23">
        <v>4</v>
      </c>
      <c r="E66" s="23">
        <v>13</v>
      </c>
      <c r="F66" s="38">
        <f t="shared" si="12"/>
        <v>0.30769230769230771</v>
      </c>
      <c r="G66" s="23">
        <v>1</v>
      </c>
      <c r="H66" s="23">
        <v>2</v>
      </c>
      <c r="I66" s="38">
        <f t="shared" si="13"/>
        <v>0.5</v>
      </c>
      <c r="J66" s="23">
        <v>0</v>
      </c>
      <c r="K66" s="23">
        <v>0</v>
      </c>
      <c r="L66" s="38">
        <f t="shared" si="14"/>
        <v>0</v>
      </c>
      <c r="M66" s="23">
        <v>4</v>
      </c>
      <c r="N66" s="23">
        <v>2</v>
      </c>
      <c r="O66" s="23">
        <v>1</v>
      </c>
      <c r="P66" s="23">
        <v>2</v>
      </c>
      <c r="Q66" s="23">
        <v>1</v>
      </c>
      <c r="R66" s="25">
        <v>9</v>
      </c>
    </row>
    <row r="67" spans="1:18" x14ac:dyDescent="0.25">
      <c r="A67" s="43">
        <v>42185</v>
      </c>
      <c r="B67" s="43"/>
      <c r="C67" s="22" t="s">
        <v>81</v>
      </c>
      <c r="D67" s="23">
        <v>1</v>
      </c>
      <c r="E67" s="23">
        <v>5</v>
      </c>
      <c r="F67" s="38">
        <f t="shared" si="12"/>
        <v>0.2</v>
      </c>
      <c r="G67" s="23">
        <v>0</v>
      </c>
      <c r="H67" s="23">
        <v>0</v>
      </c>
      <c r="I67" s="38">
        <f t="shared" si="13"/>
        <v>0</v>
      </c>
      <c r="J67" s="23">
        <v>0</v>
      </c>
      <c r="K67" s="23">
        <v>0</v>
      </c>
      <c r="L67" s="38">
        <f t="shared" si="14"/>
        <v>0</v>
      </c>
      <c r="M67" s="23">
        <v>2</v>
      </c>
      <c r="N67" s="23">
        <v>0</v>
      </c>
      <c r="O67" s="23">
        <v>0</v>
      </c>
      <c r="P67" s="23">
        <v>2</v>
      </c>
      <c r="Q67" s="23">
        <v>1</v>
      </c>
      <c r="R67" s="25">
        <v>2</v>
      </c>
    </row>
    <row r="68" spans="1:18" x14ac:dyDescent="0.25">
      <c r="A68" s="26">
        <v>42187</v>
      </c>
      <c r="B68" s="26"/>
      <c r="C68" s="52" t="s">
        <v>125</v>
      </c>
      <c r="D68" s="53">
        <v>3</v>
      </c>
      <c r="E68" s="53">
        <v>10</v>
      </c>
      <c r="F68" s="24">
        <f t="shared" si="12"/>
        <v>0.3</v>
      </c>
      <c r="G68" s="53">
        <v>0</v>
      </c>
      <c r="H68" s="53">
        <v>2</v>
      </c>
      <c r="I68" s="24">
        <f t="shared" si="13"/>
        <v>0</v>
      </c>
      <c r="J68" s="53">
        <v>6</v>
      </c>
      <c r="K68" s="53">
        <v>7</v>
      </c>
      <c r="L68" s="24">
        <f t="shared" si="14"/>
        <v>0.8571428571428571</v>
      </c>
      <c r="M68" s="53">
        <v>10</v>
      </c>
      <c r="N68" s="53">
        <v>1</v>
      </c>
      <c r="O68" s="53">
        <v>3</v>
      </c>
      <c r="P68" s="53">
        <v>1</v>
      </c>
      <c r="Q68" s="53">
        <v>0</v>
      </c>
      <c r="R68" s="54">
        <v>12</v>
      </c>
    </row>
    <row r="69" spans="1:18" x14ac:dyDescent="0.25">
      <c r="A69" s="21">
        <v>42187</v>
      </c>
      <c r="B69" s="20"/>
      <c r="C69" s="15" t="s">
        <v>101</v>
      </c>
      <c r="D69" s="16">
        <v>6</v>
      </c>
      <c r="E69" s="16">
        <v>11</v>
      </c>
      <c r="F69" s="46">
        <f t="shared" si="12"/>
        <v>0.54545454545454541</v>
      </c>
      <c r="G69" s="16">
        <v>0</v>
      </c>
      <c r="H69" s="16">
        <v>1</v>
      </c>
      <c r="I69" s="46">
        <f t="shared" si="13"/>
        <v>0</v>
      </c>
      <c r="J69" s="16">
        <v>3</v>
      </c>
      <c r="K69" s="16">
        <v>3</v>
      </c>
      <c r="L69" s="46">
        <f t="shared" si="14"/>
        <v>1</v>
      </c>
      <c r="M69" s="16">
        <v>7</v>
      </c>
      <c r="N69" s="16">
        <v>5</v>
      </c>
      <c r="O69" s="16">
        <v>2</v>
      </c>
      <c r="P69" s="16">
        <v>2</v>
      </c>
      <c r="Q69" s="16">
        <v>1</v>
      </c>
      <c r="R69" s="16">
        <v>15</v>
      </c>
    </row>
    <row r="70" spans="1:18" x14ac:dyDescent="0.25">
      <c r="A70" s="21">
        <v>42187</v>
      </c>
      <c r="B70" s="20"/>
      <c r="C70" s="15" t="s">
        <v>80</v>
      </c>
      <c r="D70" s="16">
        <v>0</v>
      </c>
      <c r="E70" s="16">
        <v>11</v>
      </c>
      <c r="F70" s="46">
        <f t="shared" si="12"/>
        <v>0</v>
      </c>
      <c r="G70" s="16">
        <v>0</v>
      </c>
      <c r="H70" s="16">
        <v>3</v>
      </c>
      <c r="I70" s="46">
        <f t="shared" si="13"/>
        <v>0</v>
      </c>
      <c r="J70" s="16">
        <v>0</v>
      </c>
      <c r="K70" s="16">
        <v>0</v>
      </c>
      <c r="L70" s="46">
        <f t="shared" si="14"/>
        <v>0</v>
      </c>
      <c r="M70" s="16">
        <v>5</v>
      </c>
      <c r="N70" s="16">
        <v>1</v>
      </c>
      <c r="O70" s="16">
        <v>1</v>
      </c>
      <c r="P70" s="16">
        <v>1</v>
      </c>
      <c r="Q70" s="16">
        <v>0</v>
      </c>
      <c r="R70" s="16">
        <v>0</v>
      </c>
    </row>
    <row r="71" spans="1:18" x14ac:dyDescent="0.25">
      <c r="A71" s="21">
        <v>42187</v>
      </c>
      <c r="B71" s="20"/>
      <c r="C71" s="15" t="s">
        <v>81</v>
      </c>
      <c r="D71" s="16">
        <v>2</v>
      </c>
      <c r="E71" s="16">
        <v>5</v>
      </c>
      <c r="F71" s="46">
        <f t="shared" si="12"/>
        <v>0.4</v>
      </c>
      <c r="G71" s="16">
        <v>0</v>
      </c>
      <c r="H71" s="16">
        <v>2</v>
      </c>
      <c r="I71" s="46">
        <f t="shared" si="13"/>
        <v>0</v>
      </c>
      <c r="J71" s="16">
        <v>0</v>
      </c>
      <c r="K71" s="16">
        <v>2</v>
      </c>
      <c r="L71" s="46">
        <f t="shared" si="14"/>
        <v>0</v>
      </c>
      <c r="M71" s="16">
        <v>1</v>
      </c>
      <c r="N71" s="16">
        <v>0</v>
      </c>
      <c r="O71" s="16">
        <v>0</v>
      </c>
      <c r="P71" s="16">
        <v>1</v>
      </c>
      <c r="Q71" s="16">
        <v>1</v>
      </c>
      <c r="R71" s="16">
        <v>4</v>
      </c>
    </row>
    <row r="72" spans="1:18" x14ac:dyDescent="0.25">
      <c r="A72" s="21">
        <v>42187</v>
      </c>
      <c r="B72" s="20"/>
      <c r="C72" s="15" t="s">
        <v>82</v>
      </c>
      <c r="D72" s="16">
        <v>8</v>
      </c>
      <c r="E72" s="16">
        <v>10</v>
      </c>
      <c r="F72" s="46">
        <f t="shared" si="12"/>
        <v>0.8</v>
      </c>
      <c r="G72" s="16">
        <v>1</v>
      </c>
      <c r="H72" s="16">
        <v>2</v>
      </c>
      <c r="I72" s="46">
        <f t="shared" si="13"/>
        <v>0.5</v>
      </c>
      <c r="J72" s="16">
        <v>2</v>
      </c>
      <c r="K72" s="16">
        <v>5</v>
      </c>
      <c r="L72" s="46">
        <f t="shared" si="14"/>
        <v>0.4</v>
      </c>
      <c r="M72" s="16">
        <v>8</v>
      </c>
      <c r="N72" s="16">
        <v>1</v>
      </c>
      <c r="O72" s="16">
        <v>0</v>
      </c>
      <c r="P72" s="16">
        <v>4</v>
      </c>
      <c r="Q72" s="16">
        <v>0</v>
      </c>
      <c r="R72" s="16">
        <v>19</v>
      </c>
    </row>
    <row r="73" spans="1:18" x14ac:dyDescent="0.25">
      <c r="A73" s="21">
        <v>42188</v>
      </c>
      <c r="B73" s="20"/>
      <c r="C73" s="15" t="s">
        <v>80</v>
      </c>
      <c r="D73" s="16">
        <v>6</v>
      </c>
      <c r="E73" s="16">
        <v>12</v>
      </c>
      <c r="F73" s="46">
        <f t="shared" si="12"/>
        <v>0.5</v>
      </c>
      <c r="G73" s="16">
        <v>0</v>
      </c>
      <c r="H73" s="16">
        <v>0</v>
      </c>
      <c r="I73" s="46">
        <f t="shared" si="13"/>
        <v>0</v>
      </c>
      <c r="J73" s="16">
        <v>3</v>
      </c>
      <c r="K73" s="16">
        <v>3</v>
      </c>
      <c r="L73" s="46">
        <f t="shared" si="14"/>
        <v>1</v>
      </c>
      <c r="M73" s="16">
        <v>1</v>
      </c>
      <c r="N73" s="16">
        <v>5</v>
      </c>
      <c r="O73" s="16">
        <v>0</v>
      </c>
      <c r="P73" s="16">
        <v>1</v>
      </c>
      <c r="Q73" s="16">
        <v>1</v>
      </c>
      <c r="R73" s="16">
        <v>15</v>
      </c>
    </row>
    <row r="74" spans="1:18" x14ac:dyDescent="0.25">
      <c r="A74" s="21">
        <v>42188</v>
      </c>
      <c r="B74" s="20"/>
      <c r="C74" s="15" t="s">
        <v>81</v>
      </c>
      <c r="D74" s="16">
        <v>1</v>
      </c>
      <c r="E74" s="16">
        <v>2</v>
      </c>
      <c r="F74" s="46">
        <f t="shared" si="12"/>
        <v>0.5</v>
      </c>
      <c r="G74" s="16">
        <v>1</v>
      </c>
      <c r="H74" s="16">
        <v>1</v>
      </c>
      <c r="I74" s="46">
        <f t="shared" si="13"/>
        <v>1</v>
      </c>
      <c r="J74" s="16">
        <v>2</v>
      </c>
      <c r="K74" s="16">
        <v>2</v>
      </c>
      <c r="L74" s="46">
        <f t="shared" si="14"/>
        <v>1</v>
      </c>
      <c r="M74" s="16">
        <v>1</v>
      </c>
      <c r="N74" s="16">
        <v>0</v>
      </c>
      <c r="O74" s="16">
        <v>0</v>
      </c>
      <c r="P74" s="16">
        <v>0</v>
      </c>
      <c r="Q74" s="16">
        <v>0</v>
      </c>
      <c r="R74" s="16">
        <v>5</v>
      </c>
    </row>
    <row r="75" spans="1:18" x14ac:dyDescent="0.25">
      <c r="A75" s="43">
        <v>42188</v>
      </c>
      <c r="B75" s="43"/>
      <c r="C75" s="22" t="s">
        <v>96</v>
      </c>
      <c r="D75" s="23">
        <v>4</v>
      </c>
      <c r="E75" s="23">
        <v>9</v>
      </c>
      <c r="F75" s="38">
        <f t="shared" si="12"/>
        <v>0.44444444444444442</v>
      </c>
      <c r="G75" s="23">
        <v>2</v>
      </c>
      <c r="H75" s="23">
        <v>2</v>
      </c>
      <c r="I75" s="38">
        <f t="shared" si="13"/>
        <v>1</v>
      </c>
      <c r="J75" s="23">
        <v>0</v>
      </c>
      <c r="K75" s="23">
        <v>0</v>
      </c>
      <c r="L75" s="38">
        <f t="shared" si="14"/>
        <v>0</v>
      </c>
      <c r="M75" s="23">
        <v>1</v>
      </c>
      <c r="N75" s="23">
        <v>6</v>
      </c>
      <c r="O75" s="23">
        <v>0</v>
      </c>
      <c r="P75" s="23">
        <v>2</v>
      </c>
      <c r="Q75" s="23">
        <v>0</v>
      </c>
      <c r="R75" s="25">
        <v>10</v>
      </c>
    </row>
    <row r="76" spans="1:18" x14ac:dyDescent="0.25">
      <c r="A76" s="43">
        <v>42188</v>
      </c>
      <c r="B76" s="43"/>
      <c r="C76" s="22" t="s">
        <v>83</v>
      </c>
      <c r="D76" s="23">
        <v>0</v>
      </c>
      <c r="E76" s="23">
        <v>1</v>
      </c>
      <c r="F76" s="38">
        <f t="shared" si="12"/>
        <v>0</v>
      </c>
      <c r="G76" s="23">
        <v>0</v>
      </c>
      <c r="H76" s="23">
        <v>1</v>
      </c>
      <c r="I76" s="38">
        <f t="shared" si="13"/>
        <v>0</v>
      </c>
      <c r="J76" s="23">
        <v>0</v>
      </c>
      <c r="K76" s="23">
        <v>0</v>
      </c>
      <c r="L76" s="38">
        <f t="shared" si="14"/>
        <v>0</v>
      </c>
      <c r="M76" s="23">
        <v>2</v>
      </c>
      <c r="N76" s="23">
        <v>1</v>
      </c>
      <c r="O76" s="23">
        <v>0</v>
      </c>
      <c r="P76" s="23">
        <v>0</v>
      </c>
      <c r="Q76" s="23">
        <v>0</v>
      </c>
      <c r="R76" s="25">
        <v>0</v>
      </c>
    </row>
    <row r="77" spans="1:18" x14ac:dyDescent="0.25">
      <c r="A77" s="43">
        <v>42188</v>
      </c>
      <c r="B77" s="43"/>
      <c r="C77" s="22" t="s">
        <v>116</v>
      </c>
      <c r="D77" s="23">
        <v>1</v>
      </c>
      <c r="E77" s="23">
        <v>5</v>
      </c>
      <c r="F77" s="38">
        <f t="shared" si="12"/>
        <v>0.2</v>
      </c>
      <c r="G77" s="23">
        <v>1</v>
      </c>
      <c r="H77" s="23">
        <v>3</v>
      </c>
      <c r="I77" s="38">
        <f t="shared" si="13"/>
        <v>0.33333333333333331</v>
      </c>
      <c r="J77" s="23">
        <v>2</v>
      </c>
      <c r="K77" s="23">
        <v>2</v>
      </c>
      <c r="L77" s="38">
        <f t="shared" si="14"/>
        <v>1</v>
      </c>
      <c r="M77" s="23">
        <v>2</v>
      </c>
      <c r="N77" s="23">
        <v>3</v>
      </c>
      <c r="O77" s="23">
        <v>0</v>
      </c>
      <c r="P77" s="23">
        <v>2</v>
      </c>
      <c r="Q77" s="23">
        <v>0</v>
      </c>
      <c r="R77" s="25">
        <v>5</v>
      </c>
    </row>
    <row r="78" spans="1:18" s="10" customFormat="1" x14ac:dyDescent="0.25">
      <c r="A78" s="43">
        <v>42190</v>
      </c>
      <c r="B78" s="43"/>
      <c r="C78" s="22" t="s">
        <v>96</v>
      </c>
      <c r="D78" s="23">
        <v>4</v>
      </c>
      <c r="E78" s="23">
        <v>15</v>
      </c>
      <c r="F78" s="38">
        <f t="shared" si="12"/>
        <v>0.26666666666666666</v>
      </c>
      <c r="G78" s="23">
        <v>1</v>
      </c>
      <c r="H78" s="23">
        <v>7</v>
      </c>
      <c r="I78" s="38">
        <f t="shared" si="13"/>
        <v>0.14285714285714285</v>
      </c>
      <c r="J78" s="23">
        <v>2</v>
      </c>
      <c r="K78" s="23">
        <v>2</v>
      </c>
      <c r="L78" s="38">
        <f t="shared" si="14"/>
        <v>1</v>
      </c>
      <c r="M78" s="23">
        <v>1</v>
      </c>
      <c r="N78" s="23">
        <v>5</v>
      </c>
      <c r="O78" s="23">
        <v>4</v>
      </c>
      <c r="P78" s="23">
        <v>2</v>
      </c>
      <c r="Q78" s="23">
        <v>0</v>
      </c>
      <c r="R78" s="25">
        <v>11</v>
      </c>
    </row>
    <row r="79" spans="1:18" x14ac:dyDescent="0.25">
      <c r="A79" s="43">
        <v>42192</v>
      </c>
      <c r="B79" s="43"/>
      <c r="C79" s="22" t="s">
        <v>80</v>
      </c>
      <c r="D79" s="23">
        <v>10</v>
      </c>
      <c r="E79" s="23">
        <v>14</v>
      </c>
      <c r="F79" s="38">
        <f t="shared" ref="F79:F88" si="15">IF(E79=0,0,D79/E79)</f>
        <v>0.7142857142857143</v>
      </c>
      <c r="G79" s="23">
        <v>1</v>
      </c>
      <c r="H79" s="23">
        <v>2</v>
      </c>
      <c r="I79" s="38">
        <f t="shared" ref="I79:I88" si="16">IF(H79=0,0,G79/H79)</f>
        <v>0.5</v>
      </c>
      <c r="J79" s="23">
        <v>3</v>
      </c>
      <c r="K79" s="23">
        <v>3</v>
      </c>
      <c r="L79" s="38">
        <f t="shared" ref="L79:L88" si="17">IF(K79=0,0,J79/K79)</f>
        <v>1</v>
      </c>
      <c r="M79" s="23">
        <v>5</v>
      </c>
      <c r="N79" s="23">
        <v>1</v>
      </c>
      <c r="O79" s="23">
        <v>1</v>
      </c>
      <c r="P79" s="23">
        <v>4</v>
      </c>
      <c r="Q79" s="23">
        <v>1</v>
      </c>
      <c r="R79" s="25">
        <v>24</v>
      </c>
    </row>
    <row r="80" spans="1:18" x14ac:dyDescent="0.25">
      <c r="A80" s="43">
        <v>42192</v>
      </c>
      <c r="B80" s="43"/>
      <c r="C80" s="22" t="s">
        <v>81</v>
      </c>
      <c r="D80" s="23">
        <v>0</v>
      </c>
      <c r="E80" s="23">
        <v>3</v>
      </c>
      <c r="F80" s="38">
        <f t="shared" si="15"/>
        <v>0</v>
      </c>
      <c r="G80" s="23">
        <v>0</v>
      </c>
      <c r="H80" s="23">
        <v>2</v>
      </c>
      <c r="I80" s="38">
        <f t="shared" si="16"/>
        <v>0</v>
      </c>
      <c r="J80" s="23">
        <v>0</v>
      </c>
      <c r="K80" s="23">
        <v>0</v>
      </c>
      <c r="L80" s="38">
        <f t="shared" si="17"/>
        <v>0</v>
      </c>
      <c r="M80" s="23">
        <v>3</v>
      </c>
      <c r="N80" s="23">
        <v>1</v>
      </c>
      <c r="O80" s="23">
        <v>0</v>
      </c>
      <c r="P80" s="23">
        <v>1</v>
      </c>
      <c r="Q80" s="23">
        <v>0</v>
      </c>
      <c r="R80" s="25">
        <v>0</v>
      </c>
    </row>
    <row r="81" spans="1:18" x14ac:dyDescent="0.25">
      <c r="A81" s="43">
        <v>42193</v>
      </c>
      <c r="B81" s="43"/>
      <c r="C81" s="22" t="s">
        <v>101</v>
      </c>
      <c r="D81" s="23">
        <v>5</v>
      </c>
      <c r="E81" s="23">
        <v>11</v>
      </c>
      <c r="F81" s="38">
        <f t="shared" si="15"/>
        <v>0.45454545454545453</v>
      </c>
      <c r="G81" s="23">
        <v>1</v>
      </c>
      <c r="H81" s="23">
        <v>4</v>
      </c>
      <c r="I81" s="38">
        <f t="shared" si="16"/>
        <v>0.25</v>
      </c>
      <c r="J81" s="23">
        <v>1</v>
      </c>
      <c r="K81" s="23">
        <v>1</v>
      </c>
      <c r="L81" s="38">
        <f t="shared" si="17"/>
        <v>1</v>
      </c>
      <c r="M81" s="23">
        <v>1</v>
      </c>
      <c r="N81" s="23">
        <v>2</v>
      </c>
      <c r="O81" s="23">
        <v>1</v>
      </c>
      <c r="P81" s="23">
        <v>2</v>
      </c>
      <c r="Q81" s="23">
        <v>0</v>
      </c>
      <c r="R81" s="25">
        <v>12</v>
      </c>
    </row>
    <row r="82" spans="1:18" x14ac:dyDescent="0.25">
      <c r="A82" s="21">
        <v>42193</v>
      </c>
      <c r="B82" s="20"/>
      <c r="C82" s="15" t="s">
        <v>82</v>
      </c>
      <c r="D82" s="16">
        <v>1</v>
      </c>
      <c r="E82" s="16">
        <v>6</v>
      </c>
      <c r="F82" s="51">
        <f t="shared" si="15"/>
        <v>0.16666666666666666</v>
      </c>
      <c r="G82" s="16">
        <v>0</v>
      </c>
      <c r="H82" s="16">
        <v>0</v>
      </c>
      <c r="I82" s="51">
        <f t="shared" si="16"/>
        <v>0</v>
      </c>
      <c r="J82" s="16">
        <v>0</v>
      </c>
      <c r="K82" s="16">
        <v>2</v>
      </c>
      <c r="L82" s="51">
        <f t="shared" si="17"/>
        <v>0</v>
      </c>
      <c r="M82" s="16">
        <v>2</v>
      </c>
      <c r="N82" s="16">
        <v>0</v>
      </c>
      <c r="O82" s="16">
        <v>1</v>
      </c>
      <c r="P82" s="16">
        <v>0</v>
      </c>
      <c r="Q82" s="16">
        <v>0</v>
      </c>
      <c r="R82" s="16">
        <v>2</v>
      </c>
    </row>
    <row r="83" spans="1:18" x14ac:dyDescent="0.25">
      <c r="A83" s="21">
        <v>42193</v>
      </c>
      <c r="B83" s="20"/>
      <c r="C83" s="15" t="s">
        <v>96</v>
      </c>
      <c r="D83" s="16">
        <v>2</v>
      </c>
      <c r="E83" s="16">
        <v>8</v>
      </c>
      <c r="F83" s="51">
        <f t="shared" si="15"/>
        <v>0.25</v>
      </c>
      <c r="G83" s="16">
        <v>0</v>
      </c>
      <c r="H83" s="16">
        <v>4</v>
      </c>
      <c r="I83" s="51">
        <f t="shared" si="16"/>
        <v>0</v>
      </c>
      <c r="J83" s="16">
        <v>2</v>
      </c>
      <c r="K83" s="16">
        <v>2</v>
      </c>
      <c r="L83" s="51">
        <f t="shared" si="17"/>
        <v>1</v>
      </c>
      <c r="M83" s="16">
        <v>3</v>
      </c>
      <c r="N83" s="16">
        <v>5</v>
      </c>
      <c r="O83" s="16">
        <v>1</v>
      </c>
      <c r="P83" s="16">
        <v>2</v>
      </c>
      <c r="Q83" s="16">
        <v>0</v>
      </c>
      <c r="R83" s="16">
        <v>6</v>
      </c>
    </row>
    <row r="84" spans="1:18" x14ac:dyDescent="0.25">
      <c r="A84" s="21">
        <v>42194</v>
      </c>
      <c r="B84" s="20"/>
      <c r="C84" s="15" t="s">
        <v>121</v>
      </c>
      <c r="D84" s="16">
        <v>1</v>
      </c>
      <c r="E84" s="16">
        <v>7</v>
      </c>
      <c r="F84" s="51">
        <f t="shared" si="15"/>
        <v>0.14285714285714285</v>
      </c>
      <c r="G84" s="16">
        <v>0</v>
      </c>
      <c r="H84" s="16">
        <v>2</v>
      </c>
      <c r="I84" s="51">
        <f t="shared" si="16"/>
        <v>0</v>
      </c>
      <c r="J84" s="16">
        <v>3</v>
      </c>
      <c r="K84" s="16">
        <v>4</v>
      </c>
      <c r="L84" s="51">
        <f t="shared" si="17"/>
        <v>0.75</v>
      </c>
      <c r="M84" s="16">
        <v>3</v>
      </c>
      <c r="N84" s="16">
        <v>2</v>
      </c>
      <c r="O84" s="16">
        <v>0</v>
      </c>
      <c r="P84" s="16">
        <v>1</v>
      </c>
      <c r="Q84" s="16">
        <v>0</v>
      </c>
      <c r="R84" s="16">
        <v>5</v>
      </c>
    </row>
    <row r="85" spans="1:18" x14ac:dyDescent="0.25">
      <c r="A85" s="21">
        <v>42195</v>
      </c>
      <c r="B85" s="20"/>
      <c r="C85" s="15" t="s">
        <v>82</v>
      </c>
      <c r="D85" s="16">
        <v>1</v>
      </c>
      <c r="E85" s="16">
        <v>3</v>
      </c>
      <c r="F85" s="51">
        <f t="shared" si="15"/>
        <v>0.33333333333333331</v>
      </c>
      <c r="G85" s="16">
        <v>0</v>
      </c>
      <c r="H85" s="16">
        <v>0</v>
      </c>
      <c r="I85" s="51">
        <f t="shared" si="16"/>
        <v>0</v>
      </c>
      <c r="J85" s="16">
        <v>2</v>
      </c>
      <c r="K85" s="16">
        <v>2</v>
      </c>
      <c r="L85" s="51">
        <f t="shared" si="17"/>
        <v>1</v>
      </c>
      <c r="M85" s="16">
        <v>3</v>
      </c>
      <c r="N85" s="16">
        <v>3</v>
      </c>
      <c r="O85" s="16">
        <v>1</v>
      </c>
      <c r="P85" s="16">
        <v>3</v>
      </c>
      <c r="Q85" s="16">
        <v>0</v>
      </c>
      <c r="R85" s="16">
        <v>4</v>
      </c>
    </row>
    <row r="86" spans="1:18" x14ac:dyDescent="0.25">
      <c r="A86" s="21">
        <v>42195</v>
      </c>
      <c r="B86" s="20"/>
      <c r="C86" s="15" t="s">
        <v>101</v>
      </c>
      <c r="D86" s="16">
        <v>3</v>
      </c>
      <c r="E86" s="16">
        <v>11</v>
      </c>
      <c r="F86" s="51">
        <f t="shared" si="15"/>
        <v>0.27272727272727271</v>
      </c>
      <c r="G86" s="16">
        <v>0</v>
      </c>
      <c r="H86" s="16">
        <v>1</v>
      </c>
      <c r="I86" s="51">
        <f t="shared" si="16"/>
        <v>0</v>
      </c>
      <c r="J86" s="16">
        <v>5</v>
      </c>
      <c r="K86" s="16">
        <v>6</v>
      </c>
      <c r="L86" s="51">
        <f t="shared" si="17"/>
        <v>0.83333333333333337</v>
      </c>
      <c r="M86" s="16">
        <v>3</v>
      </c>
      <c r="N86" s="16">
        <v>0</v>
      </c>
      <c r="O86" s="16">
        <v>2</v>
      </c>
      <c r="P86" s="16">
        <v>2</v>
      </c>
      <c r="Q86" s="16">
        <v>1</v>
      </c>
      <c r="R86" s="16">
        <v>11</v>
      </c>
    </row>
    <row r="87" spans="1:18" x14ac:dyDescent="0.25">
      <c r="A87" s="21">
        <v>42195</v>
      </c>
      <c r="B87" s="20"/>
      <c r="C87" s="15" t="s">
        <v>79</v>
      </c>
      <c r="D87" s="16">
        <v>8</v>
      </c>
      <c r="E87" s="16">
        <v>14</v>
      </c>
      <c r="F87" s="51">
        <f t="shared" si="15"/>
        <v>0.5714285714285714</v>
      </c>
      <c r="G87" s="16">
        <v>1</v>
      </c>
      <c r="H87" s="16">
        <v>5</v>
      </c>
      <c r="I87" s="51">
        <f t="shared" si="16"/>
        <v>0.2</v>
      </c>
      <c r="J87" s="16">
        <v>7</v>
      </c>
      <c r="K87" s="16">
        <v>8</v>
      </c>
      <c r="L87" s="51">
        <f t="shared" si="17"/>
        <v>0.875</v>
      </c>
      <c r="M87" s="16">
        <v>10</v>
      </c>
      <c r="N87" s="16">
        <v>3</v>
      </c>
      <c r="O87" s="16">
        <v>1</v>
      </c>
      <c r="P87" s="16">
        <v>2</v>
      </c>
      <c r="Q87" s="16">
        <v>3</v>
      </c>
      <c r="R87" s="16">
        <v>24</v>
      </c>
    </row>
    <row r="88" spans="1:18" x14ac:dyDescent="0.25">
      <c r="A88" s="21">
        <v>42195</v>
      </c>
      <c r="B88" s="20"/>
      <c r="C88" s="15" t="s">
        <v>96</v>
      </c>
      <c r="D88" s="16">
        <v>3</v>
      </c>
      <c r="E88" s="16">
        <v>9</v>
      </c>
      <c r="F88" s="51">
        <f t="shared" si="15"/>
        <v>0.33333333333333331</v>
      </c>
      <c r="G88" s="16">
        <v>1</v>
      </c>
      <c r="H88" s="16">
        <v>2</v>
      </c>
      <c r="I88" s="51">
        <f t="shared" si="16"/>
        <v>0.5</v>
      </c>
      <c r="J88" s="16">
        <v>1</v>
      </c>
      <c r="K88" s="16">
        <v>2</v>
      </c>
      <c r="L88" s="51">
        <f t="shared" si="17"/>
        <v>0.5</v>
      </c>
      <c r="M88" s="16">
        <v>3</v>
      </c>
      <c r="N88" s="16">
        <v>2</v>
      </c>
      <c r="O88" s="16">
        <v>0</v>
      </c>
      <c r="P88" s="16">
        <v>2</v>
      </c>
      <c r="Q88" s="16">
        <v>0</v>
      </c>
      <c r="R88" s="16">
        <v>8</v>
      </c>
    </row>
    <row r="89" spans="1:18" x14ac:dyDescent="0.25">
      <c r="A89" s="21">
        <v>42196</v>
      </c>
      <c r="B89" s="20"/>
      <c r="C89" s="15" t="s">
        <v>80</v>
      </c>
      <c r="D89" s="16">
        <v>3</v>
      </c>
      <c r="E89" s="16">
        <v>15</v>
      </c>
      <c r="F89" s="55">
        <f t="shared" ref="F89:F94" si="18">IF(E89=0,0,D89/E89)</f>
        <v>0.2</v>
      </c>
      <c r="G89" s="16">
        <v>0</v>
      </c>
      <c r="H89" s="16">
        <v>2</v>
      </c>
      <c r="I89" s="55">
        <f t="shared" ref="I89:I94" si="19">IF(H89=0,0,G89/H89)</f>
        <v>0</v>
      </c>
      <c r="J89" s="16">
        <v>1</v>
      </c>
      <c r="K89" s="16">
        <v>1</v>
      </c>
      <c r="L89" s="55">
        <f t="shared" ref="L89:L94" si="20">IF(K89=0,0,J89/K89)</f>
        <v>1</v>
      </c>
      <c r="M89" s="16">
        <v>4</v>
      </c>
      <c r="N89" s="16">
        <v>2</v>
      </c>
      <c r="O89" s="16">
        <v>1</v>
      </c>
      <c r="P89" s="16">
        <v>0</v>
      </c>
      <c r="Q89" s="16">
        <v>0</v>
      </c>
      <c r="R89" s="16">
        <v>7</v>
      </c>
    </row>
    <row r="90" spans="1:18" x14ac:dyDescent="0.25">
      <c r="A90" s="21">
        <v>42196</v>
      </c>
      <c r="B90" s="20"/>
      <c r="C90" s="15" t="s">
        <v>81</v>
      </c>
      <c r="D90" s="16">
        <v>0</v>
      </c>
      <c r="E90" s="16">
        <v>1</v>
      </c>
      <c r="F90" s="55">
        <f t="shared" si="18"/>
        <v>0</v>
      </c>
      <c r="G90" s="16">
        <v>0</v>
      </c>
      <c r="H90" s="16">
        <v>1</v>
      </c>
      <c r="I90" s="55">
        <f t="shared" si="19"/>
        <v>0</v>
      </c>
      <c r="J90" s="16">
        <v>2</v>
      </c>
      <c r="K90" s="16">
        <v>2</v>
      </c>
      <c r="L90" s="55">
        <f t="shared" si="20"/>
        <v>1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2</v>
      </c>
    </row>
    <row r="91" spans="1:18" x14ac:dyDescent="0.25">
      <c r="A91" s="21">
        <v>42197</v>
      </c>
      <c r="B91" s="20"/>
      <c r="C91" s="15" t="s">
        <v>79</v>
      </c>
      <c r="D91" s="16">
        <v>5</v>
      </c>
      <c r="E91" s="16">
        <v>12</v>
      </c>
      <c r="F91" s="55">
        <f t="shared" si="18"/>
        <v>0.41666666666666669</v>
      </c>
      <c r="G91" s="16">
        <v>1</v>
      </c>
      <c r="H91" s="16">
        <v>3</v>
      </c>
      <c r="I91" s="55">
        <f t="shared" si="19"/>
        <v>0.33333333333333331</v>
      </c>
      <c r="J91" s="16">
        <v>1</v>
      </c>
      <c r="K91" s="16">
        <v>2</v>
      </c>
      <c r="L91" s="55">
        <f t="shared" si="20"/>
        <v>0.5</v>
      </c>
      <c r="M91" s="16">
        <v>8</v>
      </c>
      <c r="N91" s="16">
        <v>4</v>
      </c>
      <c r="O91" s="16">
        <v>1</v>
      </c>
      <c r="P91" s="16">
        <v>0</v>
      </c>
      <c r="Q91" s="16">
        <v>1</v>
      </c>
      <c r="R91" s="16">
        <v>12</v>
      </c>
    </row>
    <row r="92" spans="1:18" x14ac:dyDescent="0.25">
      <c r="A92" s="21">
        <v>42197</v>
      </c>
      <c r="B92" s="20"/>
      <c r="C92" s="15" t="s">
        <v>82</v>
      </c>
      <c r="D92" s="16">
        <v>6</v>
      </c>
      <c r="E92" s="16">
        <v>15</v>
      </c>
      <c r="F92" s="55">
        <f t="shared" si="18"/>
        <v>0.4</v>
      </c>
      <c r="G92" s="16">
        <v>0</v>
      </c>
      <c r="H92" s="16">
        <v>1</v>
      </c>
      <c r="I92" s="55">
        <f t="shared" si="19"/>
        <v>0</v>
      </c>
      <c r="J92" s="16">
        <v>1</v>
      </c>
      <c r="K92" s="16">
        <v>1</v>
      </c>
      <c r="L92" s="55">
        <f t="shared" si="20"/>
        <v>1</v>
      </c>
      <c r="M92" s="16">
        <v>8</v>
      </c>
      <c r="N92" s="16">
        <v>0</v>
      </c>
      <c r="O92" s="16">
        <v>2</v>
      </c>
      <c r="P92" s="16">
        <v>2</v>
      </c>
      <c r="Q92" s="16">
        <v>0</v>
      </c>
      <c r="R92" s="16">
        <v>13</v>
      </c>
    </row>
    <row r="93" spans="1:18" x14ac:dyDescent="0.25">
      <c r="A93" s="21">
        <v>42197</v>
      </c>
      <c r="B93" s="20"/>
      <c r="C93" s="15" t="s">
        <v>141</v>
      </c>
      <c r="D93" s="16">
        <v>1</v>
      </c>
      <c r="E93" s="16">
        <v>4</v>
      </c>
      <c r="F93" s="55">
        <f t="shared" si="18"/>
        <v>0.25</v>
      </c>
      <c r="G93" s="16">
        <v>0</v>
      </c>
      <c r="H93" s="16">
        <v>0</v>
      </c>
      <c r="I93" s="55">
        <f t="shared" si="19"/>
        <v>0</v>
      </c>
      <c r="J93" s="16">
        <v>0</v>
      </c>
      <c r="K93" s="16">
        <v>0</v>
      </c>
      <c r="L93" s="55">
        <f t="shared" si="20"/>
        <v>0</v>
      </c>
      <c r="M93" s="16">
        <v>7</v>
      </c>
      <c r="N93" s="16">
        <v>3</v>
      </c>
      <c r="O93" s="16">
        <v>1</v>
      </c>
      <c r="P93" s="16">
        <v>4</v>
      </c>
      <c r="Q93" s="16">
        <v>1</v>
      </c>
      <c r="R93" s="16">
        <v>2</v>
      </c>
    </row>
    <row r="94" spans="1:18" x14ac:dyDescent="0.25">
      <c r="A94" s="21">
        <v>42199</v>
      </c>
      <c r="B94" s="20"/>
      <c r="C94" s="15" t="s">
        <v>141</v>
      </c>
      <c r="D94" s="16">
        <v>3</v>
      </c>
      <c r="E94" s="16">
        <v>6</v>
      </c>
      <c r="F94" s="56">
        <f t="shared" si="18"/>
        <v>0.5</v>
      </c>
      <c r="G94" s="16">
        <v>0</v>
      </c>
      <c r="H94" s="16">
        <v>1</v>
      </c>
      <c r="I94" s="56">
        <f t="shared" si="19"/>
        <v>0</v>
      </c>
      <c r="J94" s="16">
        <v>1</v>
      </c>
      <c r="K94" s="16">
        <v>1</v>
      </c>
      <c r="L94" s="56">
        <f t="shared" si="20"/>
        <v>1</v>
      </c>
      <c r="M94" s="16">
        <v>2</v>
      </c>
      <c r="N94" s="16">
        <v>0</v>
      </c>
      <c r="O94" s="16">
        <v>0</v>
      </c>
      <c r="P94" s="16">
        <v>2</v>
      </c>
      <c r="Q94" s="16">
        <v>0</v>
      </c>
      <c r="R94" s="16">
        <v>7</v>
      </c>
    </row>
    <row r="95" spans="1:18" x14ac:dyDescent="0.25">
      <c r="A95" s="21">
        <v>42199</v>
      </c>
      <c r="B95" s="20"/>
      <c r="C95" s="15" t="s">
        <v>83</v>
      </c>
      <c r="D95" s="16">
        <v>0</v>
      </c>
      <c r="E95" s="16">
        <v>0</v>
      </c>
      <c r="F95" s="46">
        <f>IF(E95=0,0,D95/E95)</f>
        <v>0</v>
      </c>
      <c r="G95" s="16">
        <v>0</v>
      </c>
      <c r="H95" s="16">
        <v>0</v>
      </c>
      <c r="I95" s="46">
        <f>IF(H95=0,0,G95/H95)</f>
        <v>0</v>
      </c>
      <c r="J95" s="16">
        <v>0</v>
      </c>
      <c r="K95" s="16">
        <v>0</v>
      </c>
      <c r="L95" s="46">
        <f>IF(K95=0,0,J95/K95)</f>
        <v>0</v>
      </c>
      <c r="M95" s="16">
        <v>1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</row>
    <row r="96" spans="1:18" x14ac:dyDescent="0.25">
      <c r="A96" s="21">
        <v>42200</v>
      </c>
      <c r="B96" s="20"/>
      <c r="C96" s="15" t="s">
        <v>79</v>
      </c>
      <c r="D96" s="16">
        <v>4</v>
      </c>
      <c r="E96" s="16">
        <v>11</v>
      </c>
      <c r="F96" s="56">
        <f t="shared" ref="F96:F113" si="21">IF(E96=0,0,D96/E96)</f>
        <v>0.36363636363636365</v>
      </c>
      <c r="G96" s="16">
        <v>0</v>
      </c>
      <c r="H96" s="16">
        <v>0</v>
      </c>
      <c r="I96" s="56">
        <f t="shared" ref="I96:I113" si="22">IF(H96=0,0,G96/H96)</f>
        <v>0</v>
      </c>
      <c r="J96" s="16">
        <v>3</v>
      </c>
      <c r="K96" s="16">
        <v>3</v>
      </c>
      <c r="L96" s="56">
        <f t="shared" ref="L96:L113" si="23">IF(K96=0,0,J96/K96)</f>
        <v>1</v>
      </c>
      <c r="M96" s="16">
        <v>10</v>
      </c>
      <c r="N96" s="16">
        <v>0</v>
      </c>
      <c r="O96" s="16">
        <v>0</v>
      </c>
      <c r="P96" s="16">
        <v>1</v>
      </c>
      <c r="Q96" s="16">
        <v>2</v>
      </c>
      <c r="R96" s="16">
        <v>11</v>
      </c>
    </row>
    <row r="97" spans="1:18" x14ac:dyDescent="0.25">
      <c r="A97" s="21">
        <v>42200</v>
      </c>
      <c r="B97" s="20"/>
      <c r="C97" s="15" t="s">
        <v>96</v>
      </c>
      <c r="D97" s="16">
        <v>3</v>
      </c>
      <c r="E97" s="16">
        <v>11</v>
      </c>
      <c r="F97" s="56">
        <f t="shared" si="21"/>
        <v>0.27272727272727271</v>
      </c>
      <c r="G97" s="16">
        <v>0</v>
      </c>
      <c r="H97" s="16">
        <v>3</v>
      </c>
      <c r="I97" s="56">
        <f t="shared" si="22"/>
        <v>0</v>
      </c>
      <c r="J97" s="16">
        <v>3</v>
      </c>
      <c r="K97" s="16">
        <v>4</v>
      </c>
      <c r="L97" s="56">
        <f t="shared" si="23"/>
        <v>0.75</v>
      </c>
      <c r="M97" s="16">
        <v>2</v>
      </c>
      <c r="N97" s="16">
        <v>5</v>
      </c>
      <c r="O97" s="16">
        <v>1</v>
      </c>
      <c r="P97" s="16">
        <v>2</v>
      </c>
      <c r="Q97" s="16">
        <v>0</v>
      </c>
      <c r="R97" s="16">
        <v>9</v>
      </c>
    </row>
    <row r="98" spans="1:18" x14ac:dyDescent="0.25">
      <c r="A98" s="43">
        <v>42200</v>
      </c>
      <c r="B98" s="43"/>
      <c r="C98" s="22" t="s">
        <v>81</v>
      </c>
      <c r="D98" s="23">
        <v>0</v>
      </c>
      <c r="E98" s="23">
        <v>2</v>
      </c>
      <c r="F98" s="38">
        <f t="shared" si="21"/>
        <v>0</v>
      </c>
      <c r="G98" s="23">
        <v>0</v>
      </c>
      <c r="H98" s="23">
        <v>0</v>
      </c>
      <c r="I98" s="38">
        <f t="shared" si="22"/>
        <v>0</v>
      </c>
      <c r="J98" s="23">
        <v>0</v>
      </c>
      <c r="K98" s="23">
        <v>0</v>
      </c>
      <c r="L98" s="38">
        <f t="shared" si="23"/>
        <v>0</v>
      </c>
      <c r="M98" s="23">
        <v>0</v>
      </c>
      <c r="N98" s="23">
        <v>0</v>
      </c>
      <c r="O98" s="23">
        <v>0</v>
      </c>
      <c r="P98" s="23">
        <v>1</v>
      </c>
      <c r="Q98" s="23">
        <v>0</v>
      </c>
      <c r="R98" s="25">
        <v>0</v>
      </c>
    </row>
    <row r="99" spans="1:18" x14ac:dyDescent="0.25">
      <c r="A99" s="43">
        <v>42200</v>
      </c>
      <c r="B99" s="43"/>
      <c r="C99" s="22" t="s">
        <v>82</v>
      </c>
      <c r="D99" s="23">
        <v>2</v>
      </c>
      <c r="E99" s="23">
        <v>10</v>
      </c>
      <c r="F99" s="38">
        <f t="shared" si="21"/>
        <v>0.2</v>
      </c>
      <c r="G99" s="23">
        <v>1</v>
      </c>
      <c r="H99" s="23">
        <v>2</v>
      </c>
      <c r="I99" s="38">
        <f t="shared" si="22"/>
        <v>0.5</v>
      </c>
      <c r="J99" s="23">
        <v>5</v>
      </c>
      <c r="K99" s="23">
        <v>6</v>
      </c>
      <c r="L99" s="38">
        <f t="shared" si="23"/>
        <v>0.83333333333333337</v>
      </c>
      <c r="M99" s="23">
        <v>6</v>
      </c>
      <c r="N99" s="23">
        <v>0</v>
      </c>
      <c r="O99" s="23">
        <v>0</v>
      </c>
      <c r="P99" s="23">
        <v>1</v>
      </c>
      <c r="Q99" s="23">
        <v>1</v>
      </c>
      <c r="R99" s="25">
        <v>10</v>
      </c>
    </row>
    <row r="100" spans="1:18" x14ac:dyDescent="0.25">
      <c r="A100" s="43">
        <v>42200</v>
      </c>
      <c r="B100" s="43"/>
      <c r="C100" s="22" t="s">
        <v>101</v>
      </c>
      <c r="D100" s="23">
        <v>4</v>
      </c>
      <c r="E100" s="23">
        <v>9</v>
      </c>
      <c r="F100" s="38">
        <f t="shared" si="21"/>
        <v>0.44444444444444442</v>
      </c>
      <c r="G100" s="23">
        <v>0</v>
      </c>
      <c r="H100" s="23">
        <v>3</v>
      </c>
      <c r="I100" s="38">
        <f t="shared" si="22"/>
        <v>0</v>
      </c>
      <c r="J100" s="23">
        <v>3</v>
      </c>
      <c r="K100" s="23">
        <v>4</v>
      </c>
      <c r="L100" s="38">
        <f t="shared" si="23"/>
        <v>0.75</v>
      </c>
      <c r="M100" s="23">
        <v>11</v>
      </c>
      <c r="N100" s="23">
        <v>2</v>
      </c>
      <c r="O100" s="23">
        <v>0</v>
      </c>
      <c r="P100" s="23">
        <v>1</v>
      </c>
      <c r="Q100" s="23">
        <v>2</v>
      </c>
      <c r="R100" s="25">
        <v>11</v>
      </c>
    </row>
    <row r="101" spans="1:18" x14ac:dyDescent="0.25">
      <c r="A101" s="43">
        <v>42200</v>
      </c>
      <c r="B101" s="43"/>
      <c r="C101" s="22" t="s">
        <v>80</v>
      </c>
      <c r="D101" s="23">
        <v>3</v>
      </c>
      <c r="E101" s="23">
        <v>10</v>
      </c>
      <c r="F101" s="38">
        <f t="shared" si="21"/>
        <v>0.3</v>
      </c>
      <c r="G101" s="23">
        <v>0</v>
      </c>
      <c r="H101" s="23">
        <v>0</v>
      </c>
      <c r="I101" s="38">
        <f t="shared" si="22"/>
        <v>0</v>
      </c>
      <c r="J101" s="23">
        <v>0</v>
      </c>
      <c r="K101" s="23">
        <v>0</v>
      </c>
      <c r="L101" s="38">
        <f t="shared" si="23"/>
        <v>0</v>
      </c>
      <c r="M101" s="23">
        <v>2</v>
      </c>
      <c r="N101" s="23">
        <v>4</v>
      </c>
      <c r="O101" s="23">
        <v>3</v>
      </c>
      <c r="P101" s="23">
        <v>2</v>
      </c>
      <c r="Q101" s="23">
        <v>0</v>
      </c>
      <c r="R101" s="25">
        <v>6</v>
      </c>
    </row>
    <row r="102" spans="1:18" x14ac:dyDescent="0.25">
      <c r="A102" s="43">
        <v>42202</v>
      </c>
      <c r="B102" s="43"/>
      <c r="C102" s="22" t="s">
        <v>101</v>
      </c>
      <c r="D102" s="23">
        <v>0</v>
      </c>
      <c r="E102" s="23">
        <v>7</v>
      </c>
      <c r="F102" s="38">
        <f t="shared" si="21"/>
        <v>0</v>
      </c>
      <c r="G102" s="23">
        <v>0</v>
      </c>
      <c r="H102" s="23">
        <v>2</v>
      </c>
      <c r="I102" s="38">
        <f t="shared" si="22"/>
        <v>0</v>
      </c>
      <c r="J102" s="23">
        <v>2</v>
      </c>
      <c r="K102" s="23">
        <v>3</v>
      </c>
      <c r="L102" s="38">
        <f t="shared" si="23"/>
        <v>0.66666666666666663</v>
      </c>
      <c r="M102" s="23">
        <v>5</v>
      </c>
      <c r="N102" s="23">
        <v>1</v>
      </c>
      <c r="O102" s="23">
        <v>0</v>
      </c>
      <c r="P102" s="23">
        <v>1</v>
      </c>
      <c r="Q102" s="23">
        <v>0</v>
      </c>
      <c r="R102" s="25">
        <v>2</v>
      </c>
    </row>
    <row r="103" spans="1:18" x14ac:dyDescent="0.25">
      <c r="A103" s="43">
        <v>42202</v>
      </c>
      <c r="B103" s="43"/>
      <c r="C103" s="22" t="s">
        <v>80</v>
      </c>
      <c r="D103" s="23">
        <v>4</v>
      </c>
      <c r="E103" s="23">
        <v>11</v>
      </c>
      <c r="F103" s="38">
        <f t="shared" si="21"/>
        <v>0.36363636363636365</v>
      </c>
      <c r="G103" s="23">
        <v>0</v>
      </c>
      <c r="H103" s="23">
        <v>1</v>
      </c>
      <c r="I103" s="38">
        <f t="shared" si="22"/>
        <v>0</v>
      </c>
      <c r="J103" s="23">
        <v>0</v>
      </c>
      <c r="K103" s="23">
        <v>2</v>
      </c>
      <c r="L103" s="38">
        <f t="shared" si="23"/>
        <v>0</v>
      </c>
      <c r="M103" s="23">
        <v>5</v>
      </c>
      <c r="N103" s="23">
        <v>1</v>
      </c>
      <c r="O103" s="23">
        <v>3</v>
      </c>
      <c r="P103" s="23">
        <v>1</v>
      </c>
      <c r="Q103" s="23">
        <v>0</v>
      </c>
      <c r="R103" s="25">
        <v>8</v>
      </c>
    </row>
    <row r="104" spans="1:18" x14ac:dyDescent="0.25">
      <c r="A104" s="43">
        <v>42202</v>
      </c>
      <c r="B104" s="43"/>
      <c r="C104" s="22" t="s">
        <v>79</v>
      </c>
      <c r="D104" s="23">
        <v>5</v>
      </c>
      <c r="E104" s="23">
        <v>15</v>
      </c>
      <c r="F104" s="38">
        <f t="shared" si="21"/>
        <v>0.33333333333333331</v>
      </c>
      <c r="G104" s="23">
        <v>0</v>
      </c>
      <c r="H104" s="23">
        <v>5</v>
      </c>
      <c r="I104" s="38">
        <f t="shared" si="22"/>
        <v>0</v>
      </c>
      <c r="J104" s="23">
        <v>4</v>
      </c>
      <c r="K104" s="23">
        <v>4</v>
      </c>
      <c r="L104" s="38">
        <f t="shared" si="23"/>
        <v>1</v>
      </c>
      <c r="M104" s="23">
        <v>9</v>
      </c>
      <c r="N104" s="23">
        <v>1</v>
      </c>
      <c r="O104" s="23">
        <v>0</v>
      </c>
      <c r="P104" s="23">
        <v>2</v>
      </c>
      <c r="Q104" s="23">
        <v>3</v>
      </c>
      <c r="R104" s="25">
        <v>14</v>
      </c>
    </row>
    <row r="105" spans="1:18" x14ac:dyDescent="0.25">
      <c r="A105" s="43">
        <v>42202</v>
      </c>
      <c r="B105" s="43"/>
      <c r="C105" s="22" t="s">
        <v>141</v>
      </c>
      <c r="D105" s="23">
        <v>7</v>
      </c>
      <c r="E105" s="23">
        <v>10</v>
      </c>
      <c r="F105" s="38">
        <f t="shared" si="21"/>
        <v>0.7</v>
      </c>
      <c r="G105" s="23">
        <v>0</v>
      </c>
      <c r="H105" s="23">
        <v>0</v>
      </c>
      <c r="I105" s="38">
        <f t="shared" si="22"/>
        <v>0</v>
      </c>
      <c r="J105" s="23">
        <v>2</v>
      </c>
      <c r="K105" s="23">
        <v>2</v>
      </c>
      <c r="L105" s="38">
        <f t="shared" si="23"/>
        <v>1</v>
      </c>
      <c r="M105" s="23">
        <v>8</v>
      </c>
      <c r="N105" s="23">
        <v>5</v>
      </c>
      <c r="O105" s="23">
        <v>1</v>
      </c>
      <c r="P105" s="23">
        <v>2</v>
      </c>
      <c r="Q105" s="23">
        <v>0</v>
      </c>
      <c r="R105" s="25">
        <v>16</v>
      </c>
    </row>
    <row r="106" spans="1:18" x14ac:dyDescent="0.25">
      <c r="A106" s="43">
        <v>42202</v>
      </c>
      <c r="B106" s="43"/>
      <c r="C106" s="22" t="s">
        <v>60</v>
      </c>
      <c r="D106" s="23">
        <v>2</v>
      </c>
      <c r="E106" s="23">
        <v>4</v>
      </c>
      <c r="F106" s="38">
        <f t="shared" si="21"/>
        <v>0.5</v>
      </c>
      <c r="G106" s="23">
        <v>0</v>
      </c>
      <c r="H106" s="23">
        <v>0</v>
      </c>
      <c r="I106" s="38">
        <f t="shared" si="22"/>
        <v>0</v>
      </c>
      <c r="J106" s="23">
        <v>1</v>
      </c>
      <c r="K106" s="23">
        <v>1</v>
      </c>
      <c r="L106" s="38">
        <f t="shared" si="23"/>
        <v>1</v>
      </c>
      <c r="M106" s="23">
        <v>5</v>
      </c>
      <c r="N106" s="23">
        <v>0</v>
      </c>
      <c r="O106" s="23">
        <v>0</v>
      </c>
      <c r="P106" s="23">
        <v>2</v>
      </c>
      <c r="Q106" s="23">
        <v>0</v>
      </c>
      <c r="R106" s="25">
        <v>5</v>
      </c>
    </row>
    <row r="107" spans="1:18" x14ac:dyDescent="0.25">
      <c r="A107" s="43">
        <v>42202</v>
      </c>
      <c r="B107" s="43"/>
      <c r="C107" s="22" t="s">
        <v>83</v>
      </c>
      <c r="D107" s="23">
        <v>3</v>
      </c>
      <c r="E107" s="23">
        <v>5</v>
      </c>
      <c r="F107" s="38">
        <f t="shared" si="21"/>
        <v>0.6</v>
      </c>
      <c r="G107" s="23">
        <v>2</v>
      </c>
      <c r="H107" s="23">
        <v>3</v>
      </c>
      <c r="I107" s="38">
        <f t="shared" si="22"/>
        <v>0.66666666666666663</v>
      </c>
      <c r="J107" s="23">
        <v>0</v>
      </c>
      <c r="K107" s="23">
        <v>0</v>
      </c>
      <c r="L107" s="38">
        <f t="shared" si="23"/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5">
        <v>8</v>
      </c>
    </row>
    <row r="108" spans="1:18" x14ac:dyDescent="0.25">
      <c r="A108" s="43">
        <v>42203</v>
      </c>
      <c r="B108" s="43"/>
      <c r="C108" s="22" t="s">
        <v>96</v>
      </c>
      <c r="D108" s="23">
        <v>4</v>
      </c>
      <c r="E108" s="23">
        <v>7</v>
      </c>
      <c r="F108" s="38">
        <f t="shared" si="21"/>
        <v>0.5714285714285714</v>
      </c>
      <c r="G108" s="23">
        <v>1</v>
      </c>
      <c r="H108" s="23">
        <v>2</v>
      </c>
      <c r="I108" s="38">
        <f t="shared" si="22"/>
        <v>0.5</v>
      </c>
      <c r="J108" s="23">
        <v>0</v>
      </c>
      <c r="K108" s="23">
        <v>0</v>
      </c>
      <c r="L108" s="38">
        <f t="shared" si="23"/>
        <v>0</v>
      </c>
      <c r="M108" s="23">
        <v>2</v>
      </c>
      <c r="N108" s="23">
        <v>12</v>
      </c>
      <c r="O108" s="23">
        <v>3</v>
      </c>
      <c r="P108" s="23">
        <v>2</v>
      </c>
      <c r="Q108" s="23">
        <v>0</v>
      </c>
      <c r="R108" s="25">
        <v>9</v>
      </c>
    </row>
    <row r="109" spans="1:18" x14ac:dyDescent="0.25">
      <c r="A109" s="43">
        <v>42204</v>
      </c>
      <c r="B109" s="43"/>
      <c r="C109" s="22" t="s">
        <v>79</v>
      </c>
      <c r="D109" s="23">
        <v>13</v>
      </c>
      <c r="E109" s="23">
        <v>23</v>
      </c>
      <c r="F109" s="38">
        <f t="shared" si="21"/>
        <v>0.56521739130434778</v>
      </c>
      <c r="G109" s="23">
        <v>3</v>
      </c>
      <c r="H109" s="23">
        <v>5</v>
      </c>
      <c r="I109" s="38">
        <f t="shared" si="22"/>
        <v>0.6</v>
      </c>
      <c r="J109" s="23">
        <v>0</v>
      </c>
      <c r="K109" s="23">
        <v>0</v>
      </c>
      <c r="L109" s="38">
        <f t="shared" si="23"/>
        <v>0</v>
      </c>
      <c r="M109" s="23">
        <v>13</v>
      </c>
      <c r="N109" s="23">
        <v>3</v>
      </c>
      <c r="O109" s="23">
        <v>1</v>
      </c>
      <c r="P109" s="23">
        <v>1</v>
      </c>
      <c r="Q109" s="23">
        <v>3</v>
      </c>
      <c r="R109" s="25">
        <v>29</v>
      </c>
    </row>
    <row r="110" spans="1:18" x14ac:dyDescent="0.25">
      <c r="A110" s="43">
        <v>42204</v>
      </c>
      <c r="B110" s="43"/>
      <c r="C110" s="22" t="s">
        <v>80</v>
      </c>
      <c r="D110" s="23">
        <v>6</v>
      </c>
      <c r="E110" s="23">
        <v>10</v>
      </c>
      <c r="F110" s="38">
        <f t="shared" si="21"/>
        <v>0.6</v>
      </c>
      <c r="G110" s="23">
        <v>0</v>
      </c>
      <c r="H110" s="23">
        <v>0</v>
      </c>
      <c r="I110" s="38">
        <f t="shared" si="22"/>
        <v>0</v>
      </c>
      <c r="J110" s="23">
        <v>3</v>
      </c>
      <c r="K110" s="23">
        <v>4</v>
      </c>
      <c r="L110" s="38">
        <f t="shared" si="23"/>
        <v>0.75</v>
      </c>
      <c r="M110" s="23">
        <v>5</v>
      </c>
      <c r="N110" s="23">
        <v>1</v>
      </c>
      <c r="O110" s="23">
        <v>1</v>
      </c>
      <c r="P110" s="23">
        <v>3</v>
      </c>
      <c r="Q110" s="23">
        <v>0</v>
      </c>
      <c r="R110" s="25">
        <v>15</v>
      </c>
    </row>
    <row r="111" spans="1:18" x14ac:dyDescent="0.25">
      <c r="A111" s="43">
        <v>42204</v>
      </c>
      <c r="B111" s="43"/>
      <c r="C111" s="22" t="s">
        <v>141</v>
      </c>
      <c r="D111" s="23">
        <v>2</v>
      </c>
      <c r="E111" s="23">
        <v>8</v>
      </c>
      <c r="F111" s="38">
        <f t="shared" si="21"/>
        <v>0.25</v>
      </c>
      <c r="G111" s="23">
        <v>0</v>
      </c>
      <c r="H111" s="23">
        <v>2</v>
      </c>
      <c r="I111" s="38">
        <f t="shared" si="22"/>
        <v>0</v>
      </c>
      <c r="J111" s="23">
        <v>4</v>
      </c>
      <c r="K111" s="23">
        <v>6</v>
      </c>
      <c r="L111" s="38">
        <f t="shared" si="23"/>
        <v>0.66666666666666663</v>
      </c>
      <c r="M111" s="23">
        <v>4</v>
      </c>
      <c r="N111" s="23">
        <v>5</v>
      </c>
      <c r="O111" s="23">
        <v>4</v>
      </c>
      <c r="P111" s="23">
        <v>0</v>
      </c>
      <c r="Q111" s="23">
        <v>0</v>
      </c>
      <c r="R111" s="25">
        <v>8</v>
      </c>
    </row>
    <row r="112" spans="1:18" x14ac:dyDescent="0.25">
      <c r="A112" s="43">
        <v>42204</v>
      </c>
      <c r="B112" s="43"/>
      <c r="C112" s="22" t="s">
        <v>83</v>
      </c>
      <c r="D112" s="23">
        <v>1</v>
      </c>
      <c r="E112" s="23">
        <v>3</v>
      </c>
      <c r="F112" s="38">
        <f t="shared" si="21"/>
        <v>0.33333333333333331</v>
      </c>
      <c r="G112" s="23">
        <v>1</v>
      </c>
      <c r="H112" s="23">
        <v>3</v>
      </c>
      <c r="I112" s="38">
        <f t="shared" si="22"/>
        <v>0.33333333333333331</v>
      </c>
      <c r="J112" s="23">
        <v>0</v>
      </c>
      <c r="K112" s="23">
        <v>0</v>
      </c>
      <c r="L112" s="38">
        <f t="shared" si="23"/>
        <v>0</v>
      </c>
      <c r="M112" s="23">
        <v>1</v>
      </c>
      <c r="N112" s="23">
        <v>0</v>
      </c>
      <c r="O112" s="23">
        <v>1</v>
      </c>
      <c r="P112" s="23">
        <v>0</v>
      </c>
      <c r="Q112" s="23">
        <v>0</v>
      </c>
      <c r="R112" s="25">
        <v>3</v>
      </c>
    </row>
    <row r="113" spans="1:18" x14ac:dyDescent="0.25">
      <c r="A113" s="43">
        <v>42204</v>
      </c>
      <c r="B113" s="43"/>
      <c r="C113" s="22" t="s">
        <v>82</v>
      </c>
      <c r="D113" s="23">
        <v>2</v>
      </c>
      <c r="E113" s="23">
        <v>4</v>
      </c>
      <c r="F113" s="38">
        <f t="shared" si="21"/>
        <v>0.5</v>
      </c>
      <c r="G113" s="23">
        <v>0</v>
      </c>
      <c r="H113" s="23">
        <v>0</v>
      </c>
      <c r="I113" s="38">
        <f t="shared" si="22"/>
        <v>0</v>
      </c>
      <c r="J113" s="23">
        <v>2</v>
      </c>
      <c r="K113" s="23">
        <v>2</v>
      </c>
      <c r="L113" s="38">
        <f t="shared" si="23"/>
        <v>1</v>
      </c>
      <c r="M113" s="23">
        <v>4</v>
      </c>
      <c r="N113" s="23">
        <v>1</v>
      </c>
      <c r="O113" s="23">
        <v>0</v>
      </c>
      <c r="P113" s="23">
        <v>0</v>
      </c>
      <c r="Q113" s="23">
        <v>0</v>
      </c>
      <c r="R113" s="25">
        <v>6</v>
      </c>
    </row>
    <row r="114" spans="1:18" x14ac:dyDescent="0.25">
      <c r="A114" s="77">
        <v>42204</v>
      </c>
      <c r="B114" s="43"/>
      <c r="C114" s="22" t="s">
        <v>60</v>
      </c>
      <c r="D114" s="23">
        <v>1</v>
      </c>
      <c r="E114" s="23">
        <v>4</v>
      </c>
      <c r="F114" s="38">
        <f t="shared" ref="F114:F135" si="24">IF(E114=0,0,D114/E114)</f>
        <v>0.25</v>
      </c>
      <c r="G114" s="23">
        <v>0</v>
      </c>
      <c r="H114" s="23">
        <v>0</v>
      </c>
      <c r="I114" s="38">
        <f t="shared" ref="I114:I135" si="25">IF(H114=0,0,G114/H114)</f>
        <v>0</v>
      </c>
      <c r="J114" s="23">
        <v>2</v>
      </c>
      <c r="K114" s="23">
        <v>2</v>
      </c>
      <c r="L114" s="38">
        <f t="shared" ref="L114:L135" si="26">IF(K114=0,0,J114/K114)</f>
        <v>1</v>
      </c>
      <c r="M114" s="23">
        <v>3</v>
      </c>
      <c r="N114" s="23">
        <v>0</v>
      </c>
      <c r="O114" s="23">
        <v>0</v>
      </c>
      <c r="P114" s="23">
        <v>2</v>
      </c>
      <c r="Q114" s="23">
        <v>0</v>
      </c>
      <c r="R114" s="25">
        <v>4</v>
      </c>
    </row>
    <row r="115" spans="1:18" s="10" customFormat="1" x14ac:dyDescent="0.25">
      <c r="A115" s="21">
        <v>42206</v>
      </c>
      <c r="B115" s="20"/>
      <c r="C115" s="15" t="s">
        <v>96</v>
      </c>
      <c r="D115" s="16">
        <v>5</v>
      </c>
      <c r="E115" s="16">
        <v>11</v>
      </c>
      <c r="F115" s="70">
        <f t="shared" si="24"/>
        <v>0.45454545454545453</v>
      </c>
      <c r="G115" s="16">
        <v>1</v>
      </c>
      <c r="H115" s="16">
        <v>3</v>
      </c>
      <c r="I115" s="70">
        <f t="shared" si="25"/>
        <v>0.33333333333333331</v>
      </c>
      <c r="J115" s="16">
        <v>3</v>
      </c>
      <c r="K115" s="16">
        <v>3</v>
      </c>
      <c r="L115" s="70">
        <f t="shared" si="26"/>
        <v>1</v>
      </c>
      <c r="M115" s="16">
        <v>2</v>
      </c>
      <c r="N115" s="16">
        <v>7</v>
      </c>
      <c r="O115" s="16">
        <v>1</v>
      </c>
      <c r="P115" s="16">
        <v>3</v>
      </c>
      <c r="Q115" s="16">
        <v>0</v>
      </c>
      <c r="R115" s="16">
        <v>14</v>
      </c>
    </row>
    <row r="116" spans="1:18" s="10" customFormat="1" x14ac:dyDescent="0.25">
      <c r="A116" s="21">
        <v>42206</v>
      </c>
      <c r="B116" s="20"/>
      <c r="C116" s="15" t="s">
        <v>80</v>
      </c>
      <c r="D116" s="16">
        <v>4</v>
      </c>
      <c r="E116" s="16">
        <v>12</v>
      </c>
      <c r="F116" s="70">
        <f t="shared" si="24"/>
        <v>0.33333333333333331</v>
      </c>
      <c r="G116" s="16">
        <v>0</v>
      </c>
      <c r="H116" s="16">
        <v>1</v>
      </c>
      <c r="I116" s="70">
        <f t="shared" si="25"/>
        <v>0</v>
      </c>
      <c r="J116" s="16">
        <v>6</v>
      </c>
      <c r="K116" s="16">
        <v>7</v>
      </c>
      <c r="L116" s="70">
        <f t="shared" si="26"/>
        <v>0.8571428571428571</v>
      </c>
      <c r="M116" s="16">
        <v>3</v>
      </c>
      <c r="N116" s="16">
        <v>2</v>
      </c>
      <c r="O116" s="16">
        <v>0</v>
      </c>
      <c r="P116" s="16">
        <v>0</v>
      </c>
      <c r="Q116" s="16">
        <v>0</v>
      </c>
      <c r="R116" s="16">
        <v>14</v>
      </c>
    </row>
    <row r="117" spans="1:18" s="10" customFormat="1" x14ac:dyDescent="0.25">
      <c r="A117" s="21">
        <v>42206</v>
      </c>
      <c r="B117" s="20"/>
      <c r="C117" s="15" t="s">
        <v>79</v>
      </c>
      <c r="D117" s="16">
        <v>9</v>
      </c>
      <c r="E117" s="16">
        <v>18</v>
      </c>
      <c r="F117" s="70">
        <f t="shared" si="24"/>
        <v>0.5</v>
      </c>
      <c r="G117" s="16">
        <v>2</v>
      </c>
      <c r="H117" s="16">
        <v>4</v>
      </c>
      <c r="I117" s="70">
        <f t="shared" si="25"/>
        <v>0.5</v>
      </c>
      <c r="J117" s="16">
        <v>7</v>
      </c>
      <c r="K117" s="16">
        <v>8</v>
      </c>
      <c r="L117" s="70">
        <f t="shared" si="26"/>
        <v>0.875</v>
      </c>
      <c r="M117" s="16">
        <v>8</v>
      </c>
      <c r="N117" s="16">
        <v>0</v>
      </c>
      <c r="O117" s="16">
        <v>2</v>
      </c>
      <c r="P117" s="16">
        <v>3</v>
      </c>
      <c r="Q117" s="16">
        <v>4</v>
      </c>
      <c r="R117" s="16">
        <v>27</v>
      </c>
    </row>
    <row r="118" spans="1:18" s="10" customFormat="1" x14ac:dyDescent="0.25">
      <c r="A118" s="21">
        <v>42206</v>
      </c>
      <c r="B118" s="20"/>
      <c r="C118" s="15" t="s">
        <v>101</v>
      </c>
      <c r="D118" s="16">
        <v>6</v>
      </c>
      <c r="E118" s="16">
        <v>12</v>
      </c>
      <c r="F118" s="70">
        <f t="shared" si="24"/>
        <v>0.5</v>
      </c>
      <c r="G118" s="16">
        <v>0</v>
      </c>
      <c r="H118" s="16">
        <v>1</v>
      </c>
      <c r="I118" s="70">
        <f t="shared" si="25"/>
        <v>0</v>
      </c>
      <c r="J118" s="16">
        <v>8</v>
      </c>
      <c r="K118" s="16">
        <v>10</v>
      </c>
      <c r="L118" s="70">
        <f t="shared" si="26"/>
        <v>0.8</v>
      </c>
      <c r="M118" s="16">
        <v>3</v>
      </c>
      <c r="N118" s="16">
        <v>1</v>
      </c>
      <c r="O118" s="16">
        <v>3</v>
      </c>
      <c r="P118" s="16">
        <v>1</v>
      </c>
      <c r="Q118" s="16">
        <v>0</v>
      </c>
      <c r="R118" s="16">
        <v>20</v>
      </c>
    </row>
    <row r="119" spans="1:18" s="10" customFormat="1" x14ac:dyDescent="0.25">
      <c r="A119" s="21">
        <v>42206</v>
      </c>
      <c r="B119" s="20"/>
      <c r="C119" s="15" t="s">
        <v>82</v>
      </c>
      <c r="D119" s="16">
        <v>1</v>
      </c>
      <c r="E119" s="16">
        <v>3</v>
      </c>
      <c r="F119" s="70">
        <f t="shared" si="24"/>
        <v>0.33333333333333331</v>
      </c>
      <c r="G119" s="16">
        <v>0</v>
      </c>
      <c r="H119" s="16">
        <v>0</v>
      </c>
      <c r="I119" s="70">
        <f t="shared" si="25"/>
        <v>0</v>
      </c>
      <c r="J119" s="16">
        <v>2</v>
      </c>
      <c r="K119" s="16">
        <v>3</v>
      </c>
      <c r="L119" s="70">
        <f t="shared" si="26"/>
        <v>0.66666666666666663</v>
      </c>
      <c r="M119" s="16">
        <v>4</v>
      </c>
      <c r="N119" s="16">
        <v>1</v>
      </c>
      <c r="O119" s="16">
        <v>0</v>
      </c>
      <c r="P119" s="16">
        <v>1</v>
      </c>
      <c r="Q119" s="16">
        <v>0</v>
      </c>
      <c r="R119" s="16">
        <v>4</v>
      </c>
    </row>
    <row r="120" spans="1:18" s="10" customFormat="1" x14ac:dyDescent="0.25">
      <c r="A120" s="71">
        <v>42207</v>
      </c>
      <c r="B120" s="20"/>
      <c r="C120" s="15" t="s">
        <v>83</v>
      </c>
      <c r="D120" s="16">
        <v>1</v>
      </c>
      <c r="E120" s="16">
        <v>3</v>
      </c>
      <c r="F120" s="70">
        <f t="shared" si="24"/>
        <v>0.33333333333333331</v>
      </c>
      <c r="G120" s="16">
        <v>1</v>
      </c>
      <c r="H120" s="16">
        <v>2</v>
      </c>
      <c r="I120" s="70">
        <f t="shared" si="25"/>
        <v>0.5</v>
      </c>
      <c r="J120" s="16">
        <v>0</v>
      </c>
      <c r="K120" s="16">
        <v>0</v>
      </c>
      <c r="L120" s="70">
        <f t="shared" si="26"/>
        <v>0</v>
      </c>
      <c r="M120" s="16">
        <v>2</v>
      </c>
      <c r="N120" s="16">
        <v>1</v>
      </c>
      <c r="O120" s="16">
        <v>0</v>
      </c>
      <c r="P120" s="16">
        <v>1</v>
      </c>
      <c r="Q120" s="16">
        <v>0</v>
      </c>
      <c r="R120" s="16">
        <v>3</v>
      </c>
    </row>
    <row r="121" spans="1:18" s="10" customFormat="1" x14ac:dyDescent="0.25">
      <c r="A121" s="71">
        <v>42207</v>
      </c>
      <c r="B121" s="20"/>
      <c r="C121" s="15" t="s">
        <v>141</v>
      </c>
      <c r="D121" s="16">
        <v>3</v>
      </c>
      <c r="E121" s="16">
        <v>4</v>
      </c>
      <c r="F121" s="70">
        <f t="shared" si="24"/>
        <v>0.75</v>
      </c>
      <c r="G121" s="16">
        <v>1</v>
      </c>
      <c r="H121" s="16">
        <v>1</v>
      </c>
      <c r="I121" s="70">
        <f t="shared" si="25"/>
        <v>1</v>
      </c>
      <c r="J121" s="16">
        <v>0</v>
      </c>
      <c r="K121" s="16">
        <v>0</v>
      </c>
      <c r="L121" s="70">
        <f t="shared" si="26"/>
        <v>0</v>
      </c>
      <c r="M121" s="16">
        <v>6</v>
      </c>
      <c r="N121" s="16">
        <v>4</v>
      </c>
      <c r="O121" s="16">
        <v>0</v>
      </c>
      <c r="P121" s="16">
        <v>4</v>
      </c>
      <c r="Q121" s="16">
        <v>0</v>
      </c>
      <c r="R121" s="16">
        <v>7</v>
      </c>
    </row>
    <row r="122" spans="1:18" s="10" customFormat="1" x14ac:dyDescent="0.25">
      <c r="A122" s="71">
        <v>42207</v>
      </c>
      <c r="B122" s="20"/>
      <c r="C122" s="15" t="s">
        <v>60</v>
      </c>
      <c r="D122" s="16">
        <v>0</v>
      </c>
      <c r="E122" s="16">
        <v>0</v>
      </c>
      <c r="F122" s="70">
        <f t="shared" si="24"/>
        <v>0</v>
      </c>
      <c r="G122" s="16">
        <v>0</v>
      </c>
      <c r="H122" s="16">
        <v>0</v>
      </c>
      <c r="I122" s="70">
        <f t="shared" si="25"/>
        <v>0</v>
      </c>
      <c r="J122" s="16">
        <v>0</v>
      </c>
      <c r="K122" s="16">
        <v>0</v>
      </c>
      <c r="L122" s="70">
        <f t="shared" si="26"/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</row>
    <row r="123" spans="1:18" x14ac:dyDescent="0.25">
      <c r="A123" s="73">
        <v>42213</v>
      </c>
      <c r="B123" s="20"/>
      <c r="C123" s="15" t="s">
        <v>101</v>
      </c>
      <c r="D123" s="16">
        <v>5</v>
      </c>
      <c r="E123" s="16">
        <v>11</v>
      </c>
      <c r="F123" s="70">
        <f t="shared" si="24"/>
        <v>0.45454545454545453</v>
      </c>
      <c r="G123" s="16">
        <v>1</v>
      </c>
      <c r="H123" s="16">
        <v>3</v>
      </c>
      <c r="I123" s="70">
        <f t="shared" si="25"/>
        <v>0.33333333333333331</v>
      </c>
      <c r="J123" s="16">
        <v>4</v>
      </c>
      <c r="K123" s="16">
        <v>6</v>
      </c>
      <c r="L123" s="70">
        <f t="shared" si="26"/>
        <v>0.66666666666666663</v>
      </c>
      <c r="M123" s="16">
        <v>8</v>
      </c>
      <c r="N123" s="16">
        <v>2</v>
      </c>
      <c r="O123" s="16">
        <v>5</v>
      </c>
      <c r="P123" s="16">
        <v>3</v>
      </c>
      <c r="Q123" s="16">
        <v>2</v>
      </c>
      <c r="R123" s="16">
        <v>15</v>
      </c>
    </row>
    <row r="124" spans="1:18" x14ac:dyDescent="0.25">
      <c r="A124" s="73">
        <v>42213</v>
      </c>
      <c r="B124" s="20"/>
      <c r="C124" s="15" t="s">
        <v>79</v>
      </c>
      <c r="D124" s="16">
        <v>10</v>
      </c>
      <c r="E124" s="16">
        <v>24</v>
      </c>
      <c r="F124" s="70">
        <f t="shared" si="24"/>
        <v>0.41666666666666669</v>
      </c>
      <c r="G124" s="16">
        <v>1</v>
      </c>
      <c r="H124" s="16">
        <v>5</v>
      </c>
      <c r="I124" s="70">
        <f t="shared" si="25"/>
        <v>0.2</v>
      </c>
      <c r="J124" s="16">
        <v>11</v>
      </c>
      <c r="K124" s="16">
        <v>11</v>
      </c>
      <c r="L124" s="70">
        <f t="shared" si="26"/>
        <v>1</v>
      </c>
      <c r="M124" s="16">
        <v>5</v>
      </c>
      <c r="N124" s="16">
        <v>0</v>
      </c>
      <c r="O124" s="16">
        <v>1</v>
      </c>
      <c r="P124" s="16">
        <v>2</v>
      </c>
      <c r="Q124" s="16">
        <v>0</v>
      </c>
      <c r="R124" s="16">
        <v>32</v>
      </c>
    </row>
    <row r="125" spans="1:18" x14ac:dyDescent="0.25">
      <c r="A125" s="21">
        <v>42214</v>
      </c>
      <c r="B125" s="20"/>
      <c r="C125" s="15" t="s">
        <v>96</v>
      </c>
      <c r="D125" s="16">
        <v>2</v>
      </c>
      <c r="E125" s="16">
        <v>7</v>
      </c>
      <c r="F125" s="70">
        <f t="shared" si="24"/>
        <v>0.2857142857142857</v>
      </c>
      <c r="G125" s="16">
        <v>1</v>
      </c>
      <c r="H125" s="16">
        <v>2</v>
      </c>
      <c r="I125" s="70">
        <f t="shared" si="25"/>
        <v>0.5</v>
      </c>
      <c r="J125" s="16">
        <v>0</v>
      </c>
      <c r="K125" s="16">
        <v>0</v>
      </c>
      <c r="L125" s="70">
        <f t="shared" si="26"/>
        <v>0</v>
      </c>
      <c r="M125" s="16">
        <v>2</v>
      </c>
      <c r="N125" s="16">
        <v>3</v>
      </c>
      <c r="O125" s="16">
        <v>0</v>
      </c>
      <c r="P125" s="16">
        <v>1</v>
      </c>
      <c r="Q125" s="16">
        <v>0</v>
      </c>
      <c r="R125" s="16">
        <v>5</v>
      </c>
    </row>
    <row r="126" spans="1:18" x14ac:dyDescent="0.25">
      <c r="A126" s="21">
        <v>42214</v>
      </c>
      <c r="B126" s="20"/>
      <c r="C126" s="15" t="s">
        <v>101</v>
      </c>
      <c r="D126" s="16">
        <v>3</v>
      </c>
      <c r="E126" s="16">
        <v>8</v>
      </c>
      <c r="F126" s="70">
        <f t="shared" si="24"/>
        <v>0.375</v>
      </c>
      <c r="G126" s="16">
        <v>0</v>
      </c>
      <c r="H126" s="16">
        <v>4</v>
      </c>
      <c r="I126" s="70">
        <f t="shared" si="25"/>
        <v>0</v>
      </c>
      <c r="J126" s="16">
        <v>5</v>
      </c>
      <c r="K126" s="16">
        <v>7</v>
      </c>
      <c r="L126" s="70">
        <f t="shared" si="26"/>
        <v>0.7142857142857143</v>
      </c>
      <c r="M126" s="16">
        <v>5</v>
      </c>
      <c r="N126" s="16">
        <v>2</v>
      </c>
      <c r="O126" s="16">
        <v>3</v>
      </c>
      <c r="P126" s="16">
        <v>2</v>
      </c>
      <c r="Q126" s="16">
        <v>2</v>
      </c>
      <c r="R126" s="16">
        <v>11</v>
      </c>
    </row>
    <row r="127" spans="1:18" x14ac:dyDescent="0.25">
      <c r="A127" s="21">
        <v>42214</v>
      </c>
      <c r="B127" s="20"/>
      <c r="C127" s="15" t="s">
        <v>60</v>
      </c>
      <c r="D127" s="16">
        <v>1</v>
      </c>
      <c r="E127" s="16">
        <v>6</v>
      </c>
      <c r="F127" s="70">
        <f t="shared" si="24"/>
        <v>0.16666666666666666</v>
      </c>
      <c r="G127" s="16">
        <v>0</v>
      </c>
      <c r="H127" s="16">
        <v>1</v>
      </c>
      <c r="I127" s="70">
        <f t="shared" si="25"/>
        <v>0</v>
      </c>
      <c r="J127" s="16">
        <v>4</v>
      </c>
      <c r="K127" s="16">
        <v>4</v>
      </c>
      <c r="L127" s="70">
        <f t="shared" si="26"/>
        <v>1</v>
      </c>
      <c r="M127" s="16">
        <v>7</v>
      </c>
      <c r="N127" s="16">
        <v>0</v>
      </c>
      <c r="O127" s="16">
        <v>2</v>
      </c>
      <c r="P127" s="16">
        <v>3</v>
      </c>
      <c r="Q127" s="16">
        <v>1</v>
      </c>
      <c r="R127" s="16">
        <v>6</v>
      </c>
    </row>
    <row r="128" spans="1:18" x14ac:dyDescent="0.25">
      <c r="A128" s="21">
        <v>42214</v>
      </c>
      <c r="B128" s="20"/>
      <c r="C128" s="15" t="s">
        <v>83</v>
      </c>
      <c r="D128" s="16">
        <v>0</v>
      </c>
      <c r="E128" s="16">
        <v>0</v>
      </c>
      <c r="F128" s="70">
        <f t="shared" si="24"/>
        <v>0</v>
      </c>
      <c r="G128" s="16">
        <v>0</v>
      </c>
      <c r="H128" s="16">
        <v>0</v>
      </c>
      <c r="I128" s="70">
        <f t="shared" si="25"/>
        <v>0</v>
      </c>
      <c r="J128" s="16">
        <v>0</v>
      </c>
      <c r="K128" s="16">
        <v>0</v>
      </c>
      <c r="L128" s="70">
        <f t="shared" si="26"/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</row>
    <row r="129" spans="1:18" x14ac:dyDescent="0.25">
      <c r="A129" s="21">
        <v>42214</v>
      </c>
      <c r="B129" s="20"/>
      <c r="C129" s="15" t="s">
        <v>141</v>
      </c>
      <c r="D129" s="16">
        <v>2</v>
      </c>
      <c r="E129" s="16">
        <v>5</v>
      </c>
      <c r="F129" s="70">
        <f t="shared" si="24"/>
        <v>0.4</v>
      </c>
      <c r="G129" s="16">
        <v>1</v>
      </c>
      <c r="H129" s="16">
        <v>1</v>
      </c>
      <c r="I129" s="70">
        <f t="shared" si="25"/>
        <v>1</v>
      </c>
      <c r="J129" s="16">
        <v>0</v>
      </c>
      <c r="K129" s="16">
        <v>0</v>
      </c>
      <c r="L129" s="70">
        <f t="shared" si="26"/>
        <v>0</v>
      </c>
      <c r="M129" s="16">
        <v>5</v>
      </c>
      <c r="N129" s="16">
        <v>4</v>
      </c>
      <c r="O129" s="16">
        <v>3</v>
      </c>
      <c r="P129" s="16">
        <v>3</v>
      </c>
      <c r="Q129" s="16">
        <v>0</v>
      </c>
      <c r="R129" s="16">
        <v>5</v>
      </c>
    </row>
    <row r="130" spans="1:18" x14ac:dyDescent="0.25">
      <c r="A130" s="71">
        <v>42215</v>
      </c>
      <c r="B130" s="20"/>
      <c r="C130" s="15" t="s">
        <v>80</v>
      </c>
      <c r="D130" s="16">
        <v>5</v>
      </c>
      <c r="E130" s="16">
        <v>14</v>
      </c>
      <c r="F130" s="70">
        <f t="shared" si="24"/>
        <v>0.35714285714285715</v>
      </c>
      <c r="G130" s="16">
        <v>2</v>
      </c>
      <c r="H130" s="16">
        <v>2</v>
      </c>
      <c r="I130" s="70">
        <f t="shared" si="25"/>
        <v>1</v>
      </c>
      <c r="J130" s="16">
        <v>2</v>
      </c>
      <c r="K130" s="16">
        <v>3</v>
      </c>
      <c r="L130" s="70">
        <f t="shared" si="26"/>
        <v>0.66666666666666663</v>
      </c>
      <c r="M130" s="16">
        <v>3</v>
      </c>
      <c r="N130" s="16">
        <v>1</v>
      </c>
      <c r="O130" s="16">
        <v>2</v>
      </c>
      <c r="P130" s="16">
        <v>3</v>
      </c>
      <c r="Q130" s="16">
        <v>0</v>
      </c>
      <c r="R130" s="16">
        <v>14</v>
      </c>
    </row>
    <row r="131" spans="1:18" x14ac:dyDescent="0.25">
      <c r="A131" s="21">
        <v>42216</v>
      </c>
      <c r="B131" s="20"/>
      <c r="C131" s="15" t="s">
        <v>96</v>
      </c>
      <c r="D131" s="16">
        <v>7</v>
      </c>
      <c r="E131" s="16">
        <v>14</v>
      </c>
      <c r="F131" s="70">
        <f t="shared" si="24"/>
        <v>0.5</v>
      </c>
      <c r="G131" s="16">
        <v>0</v>
      </c>
      <c r="H131" s="16">
        <v>3</v>
      </c>
      <c r="I131" s="70">
        <f t="shared" si="25"/>
        <v>0</v>
      </c>
      <c r="J131" s="16">
        <v>1</v>
      </c>
      <c r="K131" s="16">
        <v>2</v>
      </c>
      <c r="L131" s="70">
        <f t="shared" si="26"/>
        <v>0.5</v>
      </c>
      <c r="M131" s="16">
        <v>3</v>
      </c>
      <c r="N131" s="16">
        <v>5</v>
      </c>
      <c r="O131" s="16">
        <v>0</v>
      </c>
      <c r="P131" s="16">
        <v>3</v>
      </c>
      <c r="Q131" s="16">
        <v>0</v>
      </c>
      <c r="R131" s="16">
        <v>15</v>
      </c>
    </row>
    <row r="132" spans="1:18" x14ac:dyDescent="0.25">
      <c r="A132" s="21">
        <v>42216</v>
      </c>
      <c r="B132" s="20"/>
      <c r="C132" s="15" t="s">
        <v>79</v>
      </c>
      <c r="D132" s="16">
        <v>5</v>
      </c>
      <c r="E132" s="16">
        <v>13</v>
      </c>
      <c r="F132" s="70">
        <f t="shared" si="24"/>
        <v>0.38461538461538464</v>
      </c>
      <c r="G132" s="16">
        <v>0</v>
      </c>
      <c r="H132" s="16">
        <v>4</v>
      </c>
      <c r="I132" s="70">
        <f t="shared" si="25"/>
        <v>0</v>
      </c>
      <c r="J132" s="16">
        <v>11</v>
      </c>
      <c r="K132" s="16">
        <v>12</v>
      </c>
      <c r="L132" s="70">
        <f t="shared" si="26"/>
        <v>0.91666666666666663</v>
      </c>
      <c r="M132" s="16">
        <v>5</v>
      </c>
      <c r="N132" s="16">
        <v>1</v>
      </c>
      <c r="O132" s="16">
        <v>0</v>
      </c>
      <c r="P132" s="16">
        <v>1</v>
      </c>
      <c r="Q132" s="16">
        <v>1</v>
      </c>
      <c r="R132" s="16">
        <v>21</v>
      </c>
    </row>
    <row r="133" spans="1:18" x14ac:dyDescent="0.25">
      <c r="A133" s="21">
        <v>42216</v>
      </c>
      <c r="B133" s="20"/>
      <c r="C133" s="15" t="s">
        <v>60</v>
      </c>
      <c r="D133" s="16">
        <v>4</v>
      </c>
      <c r="E133" s="16">
        <v>5</v>
      </c>
      <c r="F133" s="70">
        <f t="shared" si="24"/>
        <v>0.8</v>
      </c>
      <c r="G133" s="16">
        <v>1</v>
      </c>
      <c r="H133" s="16">
        <v>1</v>
      </c>
      <c r="I133" s="70">
        <f t="shared" si="25"/>
        <v>1</v>
      </c>
      <c r="J133" s="16">
        <v>0</v>
      </c>
      <c r="K133" s="16">
        <v>0</v>
      </c>
      <c r="L133" s="70">
        <f t="shared" si="26"/>
        <v>0</v>
      </c>
      <c r="M133" s="16">
        <v>5</v>
      </c>
      <c r="N133" s="16">
        <v>1</v>
      </c>
      <c r="O133" s="16">
        <v>2</v>
      </c>
      <c r="P133" s="16">
        <v>1</v>
      </c>
      <c r="Q133" s="16">
        <v>1</v>
      </c>
      <c r="R133" s="16">
        <v>9</v>
      </c>
    </row>
    <row r="134" spans="1:18" x14ac:dyDescent="0.25">
      <c r="A134" s="21">
        <v>42216</v>
      </c>
      <c r="B134" s="20"/>
      <c r="C134" s="15" t="s">
        <v>83</v>
      </c>
      <c r="D134" s="16">
        <v>3</v>
      </c>
      <c r="E134" s="16">
        <v>7</v>
      </c>
      <c r="F134" s="70">
        <f t="shared" si="24"/>
        <v>0.42857142857142855</v>
      </c>
      <c r="G134" s="16">
        <v>2</v>
      </c>
      <c r="H134" s="16">
        <v>6</v>
      </c>
      <c r="I134" s="70">
        <f t="shared" si="25"/>
        <v>0.33333333333333331</v>
      </c>
      <c r="J134" s="16">
        <v>2</v>
      </c>
      <c r="K134" s="16">
        <v>2</v>
      </c>
      <c r="L134" s="70">
        <f t="shared" si="26"/>
        <v>1</v>
      </c>
      <c r="M134" s="16">
        <v>2</v>
      </c>
      <c r="N134" s="16">
        <v>3</v>
      </c>
      <c r="O134" s="16">
        <v>1</v>
      </c>
      <c r="P134" s="16">
        <v>0</v>
      </c>
      <c r="Q134" s="16">
        <v>1</v>
      </c>
      <c r="R134" s="16">
        <v>10</v>
      </c>
    </row>
    <row r="135" spans="1:18" x14ac:dyDescent="0.25">
      <c r="A135" s="21">
        <v>42216</v>
      </c>
      <c r="B135" s="20"/>
      <c r="C135" s="15" t="s">
        <v>158</v>
      </c>
      <c r="D135" s="16">
        <v>1</v>
      </c>
      <c r="E135" s="16">
        <v>7</v>
      </c>
      <c r="F135" s="70">
        <f t="shared" si="24"/>
        <v>0.14285714285714285</v>
      </c>
      <c r="G135" s="16">
        <v>1</v>
      </c>
      <c r="H135" s="16">
        <v>3</v>
      </c>
      <c r="I135" s="70">
        <f t="shared" si="25"/>
        <v>0.33333333333333331</v>
      </c>
      <c r="J135" s="16">
        <v>0</v>
      </c>
      <c r="K135" s="16">
        <v>0</v>
      </c>
      <c r="L135" s="70">
        <f t="shared" si="26"/>
        <v>0</v>
      </c>
      <c r="M135" s="16">
        <v>5</v>
      </c>
      <c r="N135" s="16">
        <v>0</v>
      </c>
      <c r="O135" s="16">
        <v>0</v>
      </c>
      <c r="P135" s="16">
        <v>0</v>
      </c>
      <c r="Q135" s="16">
        <v>0</v>
      </c>
      <c r="R135" s="16">
        <v>3</v>
      </c>
    </row>
    <row r="136" spans="1:18" x14ac:dyDescent="0.25">
      <c r="A136" s="77">
        <v>42217</v>
      </c>
      <c r="B136" s="43"/>
      <c r="C136" s="47" t="s">
        <v>83</v>
      </c>
      <c r="D136" s="23">
        <v>5</v>
      </c>
      <c r="E136" s="23">
        <v>6</v>
      </c>
      <c r="F136" s="38">
        <f t="shared" ref="F136:F142" si="27">IF(E136=0,0,D136/E136)</f>
        <v>0.83333333333333337</v>
      </c>
      <c r="G136" s="23">
        <v>3</v>
      </c>
      <c r="H136" s="23">
        <v>4</v>
      </c>
      <c r="I136" s="38">
        <f t="shared" ref="I136:I142" si="28">IF(H136=0,0,G136/H136)</f>
        <v>0.75</v>
      </c>
      <c r="J136" s="23">
        <v>0</v>
      </c>
      <c r="K136" s="23">
        <v>0</v>
      </c>
      <c r="L136" s="38">
        <f t="shared" ref="L136:L142" si="29">IF(K136=0,0,J136/K136)</f>
        <v>0</v>
      </c>
      <c r="M136" s="23">
        <v>2</v>
      </c>
      <c r="N136" s="23">
        <v>1</v>
      </c>
      <c r="O136" s="23">
        <v>1</v>
      </c>
      <c r="P136" s="23">
        <v>0</v>
      </c>
      <c r="Q136" s="23">
        <v>0</v>
      </c>
      <c r="R136" s="25">
        <v>13</v>
      </c>
    </row>
    <row r="137" spans="1:18" x14ac:dyDescent="0.25">
      <c r="A137" s="77">
        <v>42217</v>
      </c>
      <c r="B137" s="43"/>
      <c r="C137" s="47" t="s">
        <v>80</v>
      </c>
      <c r="D137" s="23">
        <v>5</v>
      </c>
      <c r="E137" s="23">
        <v>9</v>
      </c>
      <c r="F137" s="38">
        <f t="shared" si="27"/>
        <v>0.55555555555555558</v>
      </c>
      <c r="G137" s="23">
        <v>1</v>
      </c>
      <c r="H137" s="23">
        <v>1</v>
      </c>
      <c r="I137" s="38">
        <f t="shared" si="28"/>
        <v>1</v>
      </c>
      <c r="J137" s="23">
        <v>5</v>
      </c>
      <c r="K137" s="23">
        <v>7</v>
      </c>
      <c r="L137" s="38">
        <f t="shared" si="29"/>
        <v>0.7142857142857143</v>
      </c>
      <c r="M137" s="23">
        <v>8</v>
      </c>
      <c r="N137" s="23">
        <v>3</v>
      </c>
      <c r="O137" s="23">
        <v>2</v>
      </c>
      <c r="P137" s="23">
        <v>1</v>
      </c>
      <c r="Q137" s="23">
        <v>1</v>
      </c>
      <c r="R137" s="25">
        <v>16</v>
      </c>
    </row>
    <row r="138" spans="1:18" x14ac:dyDescent="0.25">
      <c r="A138" s="77">
        <v>42218</v>
      </c>
      <c r="B138" s="43"/>
      <c r="C138" s="47" t="s">
        <v>96</v>
      </c>
      <c r="D138" s="23">
        <v>5</v>
      </c>
      <c r="E138" s="23">
        <v>17</v>
      </c>
      <c r="F138" s="38">
        <f t="shared" si="27"/>
        <v>0.29411764705882354</v>
      </c>
      <c r="G138" s="23">
        <v>3</v>
      </c>
      <c r="H138" s="23">
        <v>7</v>
      </c>
      <c r="I138" s="38">
        <f t="shared" si="28"/>
        <v>0.42857142857142855</v>
      </c>
      <c r="J138" s="23">
        <v>1</v>
      </c>
      <c r="K138" s="23">
        <v>1</v>
      </c>
      <c r="L138" s="38">
        <f t="shared" si="29"/>
        <v>1</v>
      </c>
      <c r="M138" s="23">
        <v>3</v>
      </c>
      <c r="N138" s="23">
        <v>2</v>
      </c>
      <c r="O138" s="23">
        <v>1</v>
      </c>
      <c r="P138" s="23">
        <v>4</v>
      </c>
      <c r="Q138" s="23">
        <v>0</v>
      </c>
      <c r="R138" s="25">
        <v>14</v>
      </c>
    </row>
    <row r="139" spans="1:18" x14ac:dyDescent="0.25">
      <c r="A139" s="77">
        <v>42218</v>
      </c>
      <c r="B139" s="43"/>
      <c r="C139" s="47" t="s">
        <v>60</v>
      </c>
      <c r="D139" s="23">
        <v>2</v>
      </c>
      <c r="E139" s="23">
        <v>10</v>
      </c>
      <c r="F139" s="38">
        <f t="shared" si="27"/>
        <v>0.2</v>
      </c>
      <c r="G139" s="23">
        <v>0</v>
      </c>
      <c r="H139" s="23">
        <v>1</v>
      </c>
      <c r="I139" s="38">
        <f t="shared" si="28"/>
        <v>0</v>
      </c>
      <c r="J139" s="23">
        <v>0</v>
      </c>
      <c r="K139" s="23">
        <v>0</v>
      </c>
      <c r="L139" s="38">
        <f t="shared" si="29"/>
        <v>0</v>
      </c>
      <c r="M139" s="23">
        <v>9</v>
      </c>
      <c r="N139" s="23">
        <v>0</v>
      </c>
      <c r="O139" s="23">
        <v>1</v>
      </c>
      <c r="P139" s="23">
        <v>0</v>
      </c>
      <c r="Q139" s="23">
        <v>1</v>
      </c>
      <c r="R139" s="25">
        <v>4</v>
      </c>
    </row>
    <row r="140" spans="1:18" x14ac:dyDescent="0.25">
      <c r="A140" s="77">
        <v>42218</v>
      </c>
      <c r="B140" s="43"/>
      <c r="C140" s="47" t="s">
        <v>158</v>
      </c>
      <c r="D140" s="23">
        <v>0</v>
      </c>
      <c r="E140" s="23">
        <v>0</v>
      </c>
      <c r="F140" s="38">
        <f t="shared" si="27"/>
        <v>0</v>
      </c>
      <c r="G140" s="23">
        <v>0</v>
      </c>
      <c r="H140" s="23">
        <v>0</v>
      </c>
      <c r="I140" s="38">
        <f t="shared" si="28"/>
        <v>0</v>
      </c>
      <c r="J140" s="23">
        <v>0</v>
      </c>
      <c r="K140" s="23">
        <v>0</v>
      </c>
      <c r="L140" s="38">
        <f t="shared" si="29"/>
        <v>0</v>
      </c>
      <c r="M140" s="23">
        <v>2</v>
      </c>
      <c r="N140" s="23">
        <v>0</v>
      </c>
      <c r="O140" s="23">
        <v>1</v>
      </c>
      <c r="P140" s="23">
        <v>0</v>
      </c>
      <c r="Q140" s="23">
        <v>0</v>
      </c>
      <c r="R140" s="25">
        <v>0</v>
      </c>
    </row>
    <row r="141" spans="1:18" x14ac:dyDescent="0.25">
      <c r="A141" s="77">
        <v>42218</v>
      </c>
      <c r="B141" s="43"/>
      <c r="C141" s="47" t="s">
        <v>101</v>
      </c>
      <c r="D141" s="23">
        <v>3</v>
      </c>
      <c r="E141" s="23">
        <v>8</v>
      </c>
      <c r="F141" s="38">
        <f t="shared" si="27"/>
        <v>0.375</v>
      </c>
      <c r="G141" s="23">
        <v>0</v>
      </c>
      <c r="H141" s="23">
        <v>0</v>
      </c>
      <c r="I141" s="38">
        <f t="shared" si="28"/>
        <v>0</v>
      </c>
      <c r="J141" s="23">
        <v>4</v>
      </c>
      <c r="K141" s="23">
        <v>4</v>
      </c>
      <c r="L141" s="38">
        <f t="shared" si="29"/>
        <v>1</v>
      </c>
      <c r="M141" s="23">
        <v>7</v>
      </c>
      <c r="N141" s="23">
        <v>3</v>
      </c>
      <c r="O141" s="23">
        <v>1</v>
      </c>
      <c r="P141" s="23">
        <v>1</v>
      </c>
      <c r="Q141" s="23">
        <v>0</v>
      </c>
      <c r="R141" s="25">
        <v>10</v>
      </c>
    </row>
    <row r="142" spans="1:18" x14ac:dyDescent="0.25">
      <c r="A142" s="77">
        <v>42218</v>
      </c>
      <c r="B142" s="43"/>
      <c r="C142" s="47" t="s">
        <v>79</v>
      </c>
      <c r="D142" s="23">
        <v>8</v>
      </c>
      <c r="E142" s="23">
        <v>21</v>
      </c>
      <c r="F142" s="38">
        <f t="shared" si="27"/>
        <v>0.38095238095238093</v>
      </c>
      <c r="G142" s="23">
        <v>4</v>
      </c>
      <c r="H142" s="23">
        <v>10</v>
      </c>
      <c r="I142" s="38">
        <f t="shared" si="28"/>
        <v>0.4</v>
      </c>
      <c r="J142" s="23">
        <v>2</v>
      </c>
      <c r="K142" s="23">
        <v>2</v>
      </c>
      <c r="L142" s="38">
        <f t="shared" si="29"/>
        <v>1</v>
      </c>
      <c r="M142" s="23">
        <v>7</v>
      </c>
      <c r="N142" s="23">
        <v>0</v>
      </c>
      <c r="O142" s="23">
        <v>0</v>
      </c>
      <c r="P142" s="23">
        <v>1</v>
      </c>
      <c r="Q142" s="23">
        <v>1</v>
      </c>
      <c r="R142" s="25">
        <v>22</v>
      </c>
    </row>
    <row r="143" spans="1:18" x14ac:dyDescent="0.25">
      <c r="A143" s="77">
        <v>42220</v>
      </c>
      <c r="B143" s="43"/>
      <c r="C143" s="22" t="s">
        <v>158</v>
      </c>
      <c r="D143" s="23">
        <v>1</v>
      </c>
      <c r="E143" s="23">
        <v>4</v>
      </c>
      <c r="F143" s="38">
        <f t="shared" ref="F143:F162" si="30">IF(E143=0,0,D143/E143)</f>
        <v>0.25</v>
      </c>
      <c r="G143" s="23">
        <v>0</v>
      </c>
      <c r="H143" s="23">
        <v>1</v>
      </c>
      <c r="I143" s="38">
        <f t="shared" ref="I143:I162" si="31">IF(H143=0,0,G143/H143)</f>
        <v>0</v>
      </c>
      <c r="J143" s="23">
        <v>0</v>
      </c>
      <c r="K143" s="23">
        <v>0</v>
      </c>
      <c r="L143" s="38">
        <f t="shared" ref="L143:L162" si="32">IF(K143=0,0,J143/K143)</f>
        <v>0</v>
      </c>
      <c r="M143" s="23">
        <v>3</v>
      </c>
      <c r="N143" s="23">
        <v>0</v>
      </c>
      <c r="O143" s="23">
        <v>0</v>
      </c>
      <c r="P143" s="23">
        <v>1</v>
      </c>
      <c r="Q143" s="23">
        <v>2</v>
      </c>
      <c r="R143" s="25">
        <v>2</v>
      </c>
    </row>
    <row r="144" spans="1:18" x14ac:dyDescent="0.25">
      <c r="A144" s="77">
        <v>42220</v>
      </c>
      <c r="B144" s="43"/>
      <c r="C144" s="22" t="s">
        <v>101</v>
      </c>
      <c r="D144" s="23">
        <v>2</v>
      </c>
      <c r="E144" s="23">
        <v>11</v>
      </c>
      <c r="F144" s="38">
        <f t="shared" si="30"/>
        <v>0.18181818181818182</v>
      </c>
      <c r="G144" s="23">
        <v>0</v>
      </c>
      <c r="H144" s="23">
        <v>0</v>
      </c>
      <c r="I144" s="38">
        <f t="shared" si="31"/>
        <v>0</v>
      </c>
      <c r="J144" s="23">
        <v>2</v>
      </c>
      <c r="K144" s="23">
        <v>2</v>
      </c>
      <c r="L144" s="38">
        <f t="shared" si="32"/>
        <v>1</v>
      </c>
      <c r="M144" s="23">
        <v>8</v>
      </c>
      <c r="N144" s="23">
        <v>2</v>
      </c>
      <c r="O144" s="23">
        <v>2</v>
      </c>
      <c r="P144" s="23">
        <v>0</v>
      </c>
      <c r="Q144" s="23">
        <v>0</v>
      </c>
      <c r="R144" s="25">
        <v>6</v>
      </c>
    </row>
    <row r="145" spans="1:18" x14ac:dyDescent="0.25">
      <c r="A145" s="77">
        <v>42220</v>
      </c>
      <c r="B145" s="43"/>
      <c r="C145" s="22" t="s">
        <v>79</v>
      </c>
      <c r="D145" s="23">
        <v>5</v>
      </c>
      <c r="E145" s="23">
        <v>10</v>
      </c>
      <c r="F145" s="38">
        <f t="shared" si="30"/>
        <v>0.5</v>
      </c>
      <c r="G145" s="23">
        <v>2</v>
      </c>
      <c r="H145" s="23">
        <v>3</v>
      </c>
      <c r="I145" s="38">
        <f t="shared" si="31"/>
        <v>0.66666666666666663</v>
      </c>
      <c r="J145" s="23">
        <v>7</v>
      </c>
      <c r="K145" s="23">
        <v>7</v>
      </c>
      <c r="L145" s="38">
        <f t="shared" si="32"/>
        <v>1</v>
      </c>
      <c r="M145" s="23">
        <v>6</v>
      </c>
      <c r="N145" s="23">
        <v>6</v>
      </c>
      <c r="O145" s="23">
        <v>1</v>
      </c>
      <c r="P145" s="23">
        <v>1</v>
      </c>
      <c r="Q145" s="23">
        <v>4</v>
      </c>
      <c r="R145" s="25">
        <v>19</v>
      </c>
    </row>
    <row r="146" spans="1:18" x14ac:dyDescent="0.25">
      <c r="A146" s="77">
        <v>42220</v>
      </c>
      <c r="B146" s="43"/>
      <c r="C146" s="22" t="s">
        <v>141</v>
      </c>
      <c r="D146" s="23">
        <v>3</v>
      </c>
      <c r="E146" s="23">
        <v>6</v>
      </c>
      <c r="F146" s="38">
        <f t="shared" si="30"/>
        <v>0.5</v>
      </c>
      <c r="G146" s="23">
        <v>1</v>
      </c>
      <c r="H146" s="23">
        <v>3</v>
      </c>
      <c r="I146" s="38">
        <f t="shared" si="31"/>
        <v>0.33333333333333331</v>
      </c>
      <c r="J146" s="23">
        <v>2</v>
      </c>
      <c r="K146" s="23">
        <v>2</v>
      </c>
      <c r="L146" s="38">
        <f t="shared" si="32"/>
        <v>1</v>
      </c>
      <c r="M146" s="23">
        <v>3</v>
      </c>
      <c r="N146" s="23">
        <v>4</v>
      </c>
      <c r="O146" s="23">
        <v>2</v>
      </c>
      <c r="P146" s="23">
        <v>2</v>
      </c>
      <c r="Q146" s="23">
        <v>1</v>
      </c>
      <c r="R146" s="25">
        <v>9</v>
      </c>
    </row>
    <row r="147" spans="1:18" x14ac:dyDescent="0.25">
      <c r="A147" s="77">
        <v>42220</v>
      </c>
      <c r="B147" s="43"/>
      <c r="C147" s="22" t="s">
        <v>83</v>
      </c>
      <c r="D147" s="23">
        <v>2</v>
      </c>
      <c r="E147" s="23">
        <v>5</v>
      </c>
      <c r="F147" s="38">
        <f t="shared" si="30"/>
        <v>0.4</v>
      </c>
      <c r="G147" s="23">
        <v>2</v>
      </c>
      <c r="H147" s="23">
        <v>5</v>
      </c>
      <c r="I147" s="38">
        <f t="shared" si="31"/>
        <v>0.4</v>
      </c>
      <c r="J147" s="23">
        <v>0</v>
      </c>
      <c r="K147" s="23">
        <v>0</v>
      </c>
      <c r="L147" s="38">
        <f t="shared" si="32"/>
        <v>0</v>
      </c>
      <c r="M147" s="23">
        <v>1</v>
      </c>
      <c r="N147" s="23">
        <v>0</v>
      </c>
      <c r="O147" s="23">
        <v>0</v>
      </c>
      <c r="P147" s="23">
        <v>1</v>
      </c>
      <c r="Q147" s="23">
        <v>0</v>
      </c>
      <c r="R147" s="25">
        <v>6</v>
      </c>
    </row>
    <row r="148" spans="1:18" x14ac:dyDescent="0.25">
      <c r="A148" s="77">
        <v>42220</v>
      </c>
      <c r="B148" s="43"/>
      <c r="C148" s="22" t="s">
        <v>80</v>
      </c>
      <c r="D148" s="23">
        <v>5</v>
      </c>
      <c r="E148" s="23">
        <v>10</v>
      </c>
      <c r="F148" s="38">
        <f t="shared" si="30"/>
        <v>0.5</v>
      </c>
      <c r="G148" s="23">
        <v>1</v>
      </c>
      <c r="H148" s="23">
        <v>1</v>
      </c>
      <c r="I148" s="38">
        <f t="shared" si="31"/>
        <v>1</v>
      </c>
      <c r="J148" s="23">
        <v>3</v>
      </c>
      <c r="K148" s="23">
        <v>3</v>
      </c>
      <c r="L148" s="38">
        <f t="shared" si="32"/>
        <v>1</v>
      </c>
      <c r="M148" s="23">
        <v>5</v>
      </c>
      <c r="N148" s="23">
        <v>4</v>
      </c>
      <c r="O148" s="23">
        <v>0</v>
      </c>
      <c r="P148" s="23">
        <v>1</v>
      </c>
      <c r="Q148" s="23">
        <v>1</v>
      </c>
      <c r="R148" s="25">
        <v>14</v>
      </c>
    </row>
    <row r="149" spans="1:18" x14ac:dyDescent="0.25">
      <c r="A149" s="77">
        <v>42221</v>
      </c>
      <c r="B149" s="43"/>
      <c r="C149" s="22" t="s">
        <v>82</v>
      </c>
      <c r="D149" s="23">
        <v>0</v>
      </c>
      <c r="E149" s="23">
        <v>3</v>
      </c>
      <c r="F149" s="38">
        <f t="shared" si="30"/>
        <v>0</v>
      </c>
      <c r="G149" s="23">
        <v>0</v>
      </c>
      <c r="H149" s="23">
        <v>0</v>
      </c>
      <c r="I149" s="38">
        <f t="shared" si="31"/>
        <v>0</v>
      </c>
      <c r="J149" s="23">
        <v>0</v>
      </c>
      <c r="K149" s="23">
        <v>0</v>
      </c>
      <c r="L149" s="38">
        <f t="shared" si="32"/>
        <v>0</v>
      </c>
      <c r="M149" s="23">
        <v>1</v>
      </c>
      <c r="N149" s="23">
        <v>0</v>
      </c>
      <c r="O149" s="23">
        <v>0</v>
      </c>
      <c r="P149" s="23">
        <v>0</v>
      </c>
      <c r="Q149" s="23">
        <v>0</v>
      </c>
      <c r="R149" s="25">
        <v>0</v>
      </c>
    </row>
    <row r="150" spans="1:18" x14ac:dyDescent="0.25">
      <c r="A150" s="73">
        <v>42222</v>
      </c>
      <c r="B150" s="20"/>
      <c r="C150" s="15" t="s">
        <v>80</v>
      </c>
      <c r="D150" s="16">
        <v>6</v>
      </c>
      <c r="E150" s="16">
        <v>15</v>
      </c>
      <c r="F150" s="76">
        <f t="shared" si="30"/>
        <v>0.4</v>
      </c>
      <c r="G150" s="16">
        <v>0</v>
      </c>
      <c r="H150" s="16">
        <v>1</v>
      </c>
      <c r="I150" s="76">
        <f t="shared" si="31"/>
        <v>0</v>
      </c>
      <c r="J150" s="16">
        <v>2</v>
      </c>
      <c r="K150" s="16">
        <v>4</v>
      </c>
      <c r="L150" s="76">
        <f t="shared" si="32"/>
        <v>0.5</v>
      </c>
      <c r="M150" s="16">
        <v>5</v>
      </c>
      <c r="N150" s="16">
        <v>0</v>
      </c>
      <c r="O150" s="16">
        <v>1</v>
      </c>
      <c r="P150" s="16">
        <v>1</v>
      </c>
      <c r="Q150" s="16">
        <v>0</v>
      </c>
      <c r="R150" s="16">
        <v>14</v>
      </c>
    </row>
    <row r="151" spans="1:18" x14ac:dyDescent="0.25">
      <c r="A151" s="73">
        <v>42223</v>
      </c>
      <c r="B151" s="20"/>
      <c r="C151" s="15" t="s">
        <v>60</v>
      </c>
      <c r="D151" s="16">
        <v>4</v>
      </c>
      <c r="E151" s="16">
        <v>9</v>
      </c>
      <c r="F151" s="76">
        <f t="shared" si="30"/>
        <v>0.44444444444444442</v>
      </c>
      <c r="G151" s="16">
        <v>1</v>
      </c>
      <c r="H151" s="16">
        <v>2</v>
      </c>
      <c r="I151" s="76">
        <f t="shared" si="31"/>
        <v>0.5</v>
      </c>
      <c r="J151" s="16">
        <v>5</v>
      </c>
      <c r="K151" s="16">
        <v>6</v>
      </c>
      <c r="L151" s="76">
        <f t="shared" si="32"/>
        <v>0.83333333333333337</v>
      </c>
      <c r="M151" s="16">
        <v>5</v>
      </c>
      <c r="N151" s="16">
        <v>2</v>
      </c>
      <c r="O151" s="16">
        <v>0</v>
      </c>
      <c r="P151" s="16">
        <v>5</v>
      </c>
      <c r="Q151" s="16">
        <v>1</v>
      </c>
      <c r="R151" s="16">
        <v>14</v>
      </c>
    </row>
    <row r="152" spans="1:18" x14ac:dyDescent="0.25">
      <c r="A152" s="73">
        <v>42223</v>
      </c>
      <c r="B152" s="20"/>
      <c r="C152" s="15" t="s">
        <v>101</v>
      </c>
      <c r="D152" s="16">
        <v>5</v>
      </c>
      <c r="E152" s="16">
        <v>11</v>
      </c>
      <c r="F152" s="76">
        <f t="shared" si="30"/>
        <v>0.45454545454545453</v>
      </c>
      <c r="G152" s="16">
        <v>1</v>
      </c>
      <c r="H152" s="16">
        <v>1</v>
      </c>
      <c r="I152" s="76">
        <f t="shared" si="31"/>
        <v>1</v>
      </c>
      <c r="J152" s="16">
        <v>7</v>
      </c>
      <c r="K152" s="16">
        <v>9</v>
      </c>
      <c r="L152" s="76">
        <f t="shared" si="32"/>
        <v>0.77777777777777779</v>
      </c>
      <c r="M152" s="16">
        <v>6</v>
      </c>
      <c r="N152" s="16">
        <v>2</v>
      </c>
      <c r="O152" s="16">
        <v>3</v>
      </c>
      <c r="P152" s="16">
        <v>1</v>
      </c>
      <c r="Q152" s="16">
        <v>1</v>
      </c>
      <c r="R152" s="16">
        <v>18</v>
      </c>
    </row>
    <row r="153" spans="1:18" x14ac:dyDescent="0.25">
      <c r="A153" s="73">
        <v>42223</v>
      </c>
      <c r="B153" s="20"/>
      <c r="C153" s="15" t="s">
        <v>141</v>
      </c>
      <c r="D153" s="16">
        <v>3</v>
      </c>
      <c r="E153" s="16">
        <v>7</v>
      </c>
      <c r="F153" s="76">
        <f t="shared" si="30"/>
        <v>0.42857142857142855</v>
      </c>
      <c r="G153" s="16">
        <v>0</v>
      </c>
      <c r="H153" s="16">
        <v>2</v>
      </c>
      <c r="I153" s="76">
        <f t="shared" si="31"/>
        <v>0</v>
      </c>
      <c r="J153" s="16">
        <v>2</v>
      </c>
      <c r="K153" s="16">
        <v>2</v>
      </c>
      <c r="L153" s="76">
        <f t="shared" si="32"/>
        <v>1</v>
      </c>
      <c r="M153" s="16">
        <v>4</v>
      </c>
      <c r="N153" s="16">
        <v>4</v>
      </c>
      <c r="O153" s="16">
        <v>0</v>
      </c>
      <c r="P153" s="16">
        <v>2</v>
      </c>
      <c r="Q153" s="16">
        <v>0</v>
      </c>
      <c r="R153" s="16">
        <v>8</v>
      </c>
    </row>
    <row r="154" spans="1:18" x14ac:dyDescent="0.25">
      <c r="A154" s="73">
        <v>42223</v>
      </c>
      <c r="B154" s="20"/>
      <c r="C154" s="15" t="s">
        <v>83</v>
      </c>
      <c r="D154" s="16">
        <v>0</v>
      </c>
      <c r="E154" s="16">
        <v>1</v>
      </c>
      <c r="F154" s="76">
        <f t="shared" si="30"/>
        <v>0</v>
      </c>
      <c r="G154" s="16">
        <v>0</v>
      </c>
      <c r="H154" s="16">
        <v>1</v>
      </c>
      <c r="I154" s="76">
        <f t="shared" si="31"/>
        <v>0</v>
      </c>
      <c r="J154" s="16">
        <v>0</v>
      </c>
      <c r="K154" s="16">
        <v>0</v>
      </c>
      <c r="L154" s="76">
        <f t="shared" si="32"/>
        <v>0</v>
      </c>
      <c r="M154" s="16">
        <v>1</v>
      </c>
      <c r="N154" s="16">
        <v>1</v>
      </c>
      <c r="O154" s="16">
        <v>0</v>
      </c>
      <c r="P154" s="16">
        <v>1</v>
      </c>
      <c r="Q154" s="16">
        <v>0</v>
      </c>
      <c r="R154" s="16">
        <v>0</v>
      </c>
    </row>
    <row r="155" spans="1:18" x14ac:dyDescent="0.25">
      <c r="A155" s="73">
        <v>42223</v>
      </c>
      <c r="B155" s="20"/>
      <c r="C155" s="15" t="s">
        <v>79</v>
      </c>
      <c r="D155" s="16">
        <v>4</v>
      </c>
      <c r="E155" s="16">
        <v>12</v>
      </c>
      <c r="F155" s="76">
        <f t="shared" si="30"/>
        <v>0.33333333333333331</v>
      </c>
      <c r="G155" s="16">
        <v>1</v>
      </c>
      <c r="H155" s="16">
        <v>5</v>
      </c>
      <c r="I155" s="76">
        <f t="shared" si="31"/>
        <v>0.2</v>
      </c>
      <c r="J155" s="16">
        <v>8</v>
      </c>
      <c r="K155" s="16">
        <v>8</v>
      </c>
      <c r="L155" s="76">
        <f t="shared" si="32"/>
        <v>1</v>
      </c>
      <c r="M155" s="16">
        <v>6</v>
      </c>
      <c r="N155" s="16">
        <v>1</v>
      </c>
      <c r="O155" s="16">
        <v>0</v>
      </c>
      <c r="P155" s="16">
        <v>1</v>
      </c>
      <c r="Q155" s="16">
        <v>0</v>
      </c>
      <c r="R155" s="16">
        <v>17</v>
      </c>
    </row>
    <row r="156" spans="1:18" x14ac:dyDescent="0.25">
      <c r="A156" s="73">
        <v>42224</v>
      </c>
      <c r="B156" s="20"/>
      <c r="C156" s="15" t="s">
        <v>82</v>
      </c>
      <c r="D156" s="16">
        <v>1</v>
      </c>
      <c r="E156" s="16">
        <v>2</v>
      </c>
      <c r="F156" s="76">
        <f t="shared" si="30"/>
        <v>0.5</v>
      </c>
      <c r="G156" s="16">
        <v>0</v>
      </c>
      <c r="H156" s="16">
        <v>1</v>
      </c>
      <c r="I156" s="76">
        <f t="shared" si="31"/>
        <v>0</v>
      </c>
      <c r="J156" s="16">
        <v>0</v>
      </c>
      <c r="K156" s="16">
        <v>0</v>
      </c>
      <c r="L156" s="76">
        <f t="shared" si="32"/>
        <v>0</v>
      </c>
      <c r="M156" s="16">
        <v>3</v>
      </c>
      <c r="N156" s="16">
        <v>2</v>
      </c>
      <c r="O156" s="16">
        <v>0</v>
      </c>
      <c r="P156" s="16">
        <v>3</v>
      </c>
      <c r="Q156" s="16">
        <v>0</v>
      </c>
      <c r="R156" s="16">
        <v>2</v>
      </c>
    </row>
    <row r="157" spans="1:18" x14ac:dyDescent="0.25">
      <c r="A157" s="73">
        <v>42224</v>
      </c>
      <c r="B157" s="20"/>
      <c r="C157" s="15" t="s">
        <v>96</v>
      </c>
      <c r="D157" s="16">
        <v>2</v>
      </c>
      <c r="E157" s="16">
        <v>8</v>
      </c>
      <c r="F157" s="76">
        <f t="shared" si="30"/>
        <v>0.25</v>
      </c>
      <c r="G157" s="16">
        <v>0</v>
      </c>
      <c r="H157" s="16">
        <v>1</v>
      </c>
      <c r="I157" s="76">
        <f t="shared" si="31"/>
        <v>0</v>
      </c>
      <c r="J157" s="16">
        <v>0</v>
      </c>
      <c r="K157" s="16">
        <v>0</v>
      </c>
      <c r="L157" s="76">
        <f t="shared" si="32"/>
        <v>0</v>
      </c>
      <c r="M157" s="16">
        <v>2</v>
      </c>
      <c r="N157" s="16">
        <v>13</v>
      </c>
      <c r="O157" s="16">
        <v>1</v>
      </c>
      <c r="P157" s="16">
        <v>3</v>
      </c>
      <c r="Q157" s="16">
        <v>0</v>
      </c>
      <c r="R157" s="16">
        <v>4</v>
      </c>
    </row>
    <row r="158" spans="1:18" x14ac:dyDescent="0.25">
      <c r="A158" s="71">
        <v>42225</v>
      </c>
      <c r="B158" s="20"/>
      <c r="C158" s="15" t="s">
        <v>80</v>
      </c>
      <c r="D158" s="16">
        <v>3</v>
      </c>
      <c r="E158" s="16">
        <v>8</v>
      </c>
      <c r="F158" s="76">
        <f t="shared" si="30"/>
        <v>0.375</v>
      </c>
      <c r="G158" s="16">
        <v>0</v>
      </c>
      <c r="H158" s="16">
        <v>2</v>
      </c>
      <c r="I158" s="76">
        <f t="shared" si="31"/>
        <v>0</v>
      </c>
      <c r="J158" s="16">
        <v>2</v>
      </c>
      <c r="K158" s="16">
        <v>3</v>
      </c>
      <c r="L158" s="76">
        <f t="shared" si="32"/>
        <v>0.66666666666666663</v>
      </c>
      <c r="M158" s="16">
        <v>1</v>
      </c>
      <c r="N158" s="16">
        <v>2</v>
      </c>
      <c r="O158" s="16">
        <v>3</v>
      </c>
      <c r="P158" s="16">
        <v>2</v>
      </c>
      <c r="Q158" s="16">
        <v>0</v>
      </c>
      <c r="R158" s="16">
        <v>8</v>
      </c>
    </row>
    <row r="159" spans="1:18" x14ac:dyDescent="0.25">
      <c r="A159" s="71">
        <v>42225</v>
      </c>
      <c r="B159" s="20"/>
      <c r="C159" s="15" t="s">
        <v>60</v>
      </c>
      <c r="D159" s="16">
        <v>7</v>
      </c>
      <c r="E159" s="16">
        <v>15</v>
      </c>
      <c r="F159" s="76">
        <f t="shared" si="30"/>
        <v>0.46666666666666667</v>
      </c>
      <c r="G159" s="16">
        <v>0</v>
      </c>
      <c r="H159" s="16">
        <v>1</v>
      </c>
      <c r="I159" s="76">
        <f t="shared" si="31"/>
        <v>0</v>
      </c>
      <c r="J159" s="16">
        <v>4</v>
      </c>
      <c r="K159" s="16">
        <v>4</v>
      </c>
      <c r="L159" s="76">
        <f t="shared" si="32"/>
        <v>1</v>
      </c>
      <c r="M159" s="16">
        <v>6</v>
      </c>
      <c r="N159" s="16">
        <v>2</v>
      </c>
      <c r="O159" s="16">
        <v>1</v>
      </c>
      <c r="P159" s="16">
        <v>1</v>
      </c>
      <c r="Q159" s="16">
        <v>1</v>
      </c>
      <c r="R159" s="16">
        <v>18</v>
      </c>
    </row>
    <row r="160" spans="1:18" x14ac:dyDescent="0.25">
      <c r="A160" s="71">
        <v>42225</v>
      </c>
      <c r="B160" s="20"/>
      <c r="C160" s="15" t="s">
        <v>79</v>
      </c>
      <c r="D160" s="16">
        <v>11</v>
      </c>
      <c r="E160" s="16">
        <v>18</v>
      </c>
      <c r="F160" s="76">
        <f t="shared" si="30"/>
        <v>0.61111111111111116</v>
      </c>
      <c r="G160" s="16">
        <v>5</v>
      </c>
      <c r="H160" s="16">
        <v>9</v>
      </c>
      <c r="I160" s="76">
        <f t="shared" si="31"/>
        <v>0.55555555555555558</v>
      </c>
      <c r="J160" s="16">
        <v>6</v>
      </c>
      <c r="K160" s="16">
        <v>7</v>
      </c>
      <c r="L160" s="76">
        <f t="shared" si="32"/>
        <v>0.8571428571428571</v>
      </c>
      <c r="M160" s="16">
        <v>8</v>
      </c>
      <c r="N160" s="16">
        <v>1</v>
      </c>
      <c r="O160" s="16">
        <v>0</v>
      </c>
      <c r="P160" s="16">
        <v>1</v>
      </c>
      <c r="Q160" s="16">
        <v>1</v>
      </c>
      <c r="R160" s="16">
        <v>33</v>
      </c>
    </row>
    <row r="161" spans="1:18" x14ac:dyDescent="0.25">
      <c r="A161" s="71">
        <v>42225</v>
      </c>
      <c r="B161" s="20"/>
      <c r="C161" s="15" t="s">
        <v>141</v>
      </c>
      <c r="D161" s="16">
        <v>2</v>
      </c>
      <c r="E161" s="16">
        <v>6</v>
      </c>
      <c r="F161" s="76">
        <f t="shared" si="30"/>
        <v>0.33333333333333331</v>
      </c>
      <c r="G161" s="16">
        <v>0</v>
      </c>
      <c r="H161" s="16">
        <v>2</v>
      </c>
      <c r="I161" s="76">
        <f t="shared" si="31"/>
        <v>0</v>
      </c>
      <c r="J161" s="16">
        <v>0</v>
      </c>
      <c r="K161" s="16">
        <v>0</v>
      </c>
      <c r="L161" s="76">
        <f t="shared" si="32"/>
        <v>0</v>
      </c>
      <c r="M161" s="16">
        <v>0</v>
      </c>
      <c r="N161" s="16">
        <v>2</v>
      </c>
      <c r="O161" s="16">
        <v>0</v>
      </c>
      <c r="P161" s="16">
        <v>2</v>
      </c>
      <c r="Q161" s="16">
        <v>0</v>
      </c>
      <c r="R161" s="16">
        <v>4</v>
      </c>
    </row>
    <row r="162" spans="1:18" x14ac:dyDescent="0.25">
      <c r="A162" s="71">
        <v>42225</v>
      </c>
      <c r="B162" s="20"/>
      <c r="C162" s="15" t="s">
        <v>83</v>
      </c>
      <c r="D162" s="16">
        <v>0</v>
      </c>
      <c r="E162" s="16">
        <v>0</v>
      </c>
      <c r="F162" s="76">
        <f t="shared" si="30"/>
        <v>0</v>
      </c>
      <c r="G162" s="16">
        <v>0</v>
      </c>
      <c r="H162" s="16">
        <v>0</v>
      </c>
      <c r="I162" s="76">
        <f t="shared" si="31"/>
        <v>0</v>
      </c>
      <c r="J162" s="16">
        <v>0</v>
      </c>
      <c r="K162" s="16">
        <v>0</v>
      </c>
      <c r="L162" s="76">
        <f t="shared" si="32"/>
        <v>0</v>
      </c>
      <c r="M162" s="16">
        <v>1</v>
      </c>
      <c r="N162" s="16">
        <v>0</v>
      </c>
      <c r="O162" s="16">
        <v>1</v>
      </c>
      <c r="P162" s="16">
        <v>0</v>
      </c>
      <c r="Q162" s="16">
        <v>0</v>
      </c>
      <c r="R162" s="16">
        <v>0</v>
      </c>
    </row>
    <row r="163" spans="1:18" x14ac:dyDescent="0.25">
      <c r="A163" s="79">
        <v>42227</v>
      </c>
      <c r="B163" s="60"/>
      <c r="C163" s="59" t="s">
        <v>101</v>
      </c>
      <c r="D163" s="57">
        <v>9</v>
      </c>
      <c r="E163" s="57">
        <v>18</v>
      </c>
      <c r="F163" s="78">
        <f t="shared" ref="F163:F170" si="33">IF(E163=0,0,D163/E163)</f>
        <v>0.5</v>
      </c>
      <c r="G163" s="57">
        <v>0</v>
      </c>
      <c r="H163" s="57">
        <v>1</v>
      </c>
      <c r="I163" s="78">
        <f t="shared" ref="I163:I170" si="34">IF(H163=0,0,G163/H163)</f>
        <v>0</v>
      </c>
      <c r="J163" s="57">
        <v>2</v>
      </c>
      <c r="K163" s="57">
        <v>3</v>
      </c>
      <c r="L163" s="78">
        <f t="shared" ref="L163:L170" si="35">IF(K163=0,0,J163/K163)</f>
        <v>0.66666666666666663</v>
      </c>
      <c r="M163" s="57">
        <v>6</v>
      </c>
      <c r="N163" s="57">
        <v>4</v>
      </c>
      <c r="O163" s="57">
        <v>1</v>
      </c>
      <c r="P163" s="57">
        <v>2</v>
      </c>
      <c r="Q163" s="57">
        <v>0</v>
      </c>
      <c r="R163" s="57">
        <v>20</v>
      </c>
    </row>
    <row r="164" spans="1:18" x14ac:dyDescent="0.25">
      <c r="A164" s="79">
        <v>42227</v>
      </c>
      <c r="B164" s="60"/>
      <c r="C164" s="59" t="s">
        <v>141</v>
      </c>
      <c r="D164" s="57">
        <v>5</v>
      </c>
      <c r="E164" s="57">
        <v>8</v>
      </c>
      <c r="F164" s="78">
        <f t="shared" si="33"/>
        <v>0.625</v>
      </c>
      <c r="G164" s="57">
        <v>1</v>
      </c>
      <c r="H164" s="57">
        <v>3</v>
      </c>
      <c r="I164" s="78">
        <f t="shared" si="34"/>
        <v>0.33333333333333331</v>
      </c>
      <c r="J164" s="57">
        <v>0</v>
      </c>
      <c r="K164" s="57">
        <v>0</v>
      </c>
      <c r="L164" s="78">
        <f t="shared" si="35"/>
        <v>0</v>
      </c>
      <c r="M164" s="57">
        <v>6</v>
      </c>
      <c r="N164" s="57">
        <v>1</v>
      </c>
      <c r="O164" s="57">
        <v>2</v>
      </c>
      <c r="P164" s="57">
        <v>5</v>
      </c>
      <c r="Q164" s="57">
        <v>0</v>
      </c>
      <c r="R164" s="57">
        <v>11</v>
      </c>
    </row>
    <row r="165" spans="1:18" x14ac:dyDescent="0.25">
      <c r="A165" s="79">
        <v>42227</v>
      </c>
      <c r="B165" s="60"/>
      <c r="C165" s="59" t="s">
        <v>83</v>
      </c>
      <c r="D165" s="57">
        <v>1</v>
      </c>
      <c r="E165" s="57">
        <v>2</v>
      </c>
      <c r="F165" s="78">
        <f t="shared" si="33"/>
        <v>0.5</v>
      </c>
      <c r="G165" s="57">
        <v>1</v>
      </c>
      <c r="H165" s="57">
        <v>1</v>
      </c>
      <c r="I165" s="78">
        <f t="shared" si="34"/>
        <v>1</v>
      </c>
      <c r="J165" s="57">
        <v>0</v>
      </c>
      <c r="K165" s="57">
        <v>0</v>
      </c>
      <c r="L165" s="78">
        <f t="shared" si="35"/>
        <v>0</v>
      </c>
      <c r="M165" s="57">
        <v>1</v>
      </c>
      <c r="N165" s="57">
        <v>2</v>
      </c>
      <c r="O165" s="57">
        <v>0</v>
      </c>
      <c r="P165" s="57">
        <v>1</v>
      </c>
      <c r="Q165" s="57">
        <v>0</v>
      </c>
      <c r="R165" s="57">
        <v>3</v>
      </c>
    </row>
    <row r="166" spans="1:18" x14ac:dyDescent="0.25">
      <c r="A166" s="79">
        <v>42227</v>
      </c>
      <c r="B166" s="60"/>
      <c r="C166" s="59" t="s">
        <v>82</v>
      </c>
      <c r="D166" s="57">
        <v>0</v>
      </c>
      <c r="E166" s="57">
        <v>1</v>
      </c>
      <c r="F166" s="78">
        <f t="shared" si="33"/>
        <v>0</v>
      </c>
      <c r="G166" s="57">
        <v>0</v>
      </c>
      <c r="H166" s="57">
        <v>0</v>
      </c>
      <c r="I166" s="78">
        <f t="shared" si="34"/>
        <v>0</v>
      </c>
      <c r="J166" s="57">
        <v>0</v>
      </c>
      <c r="K166" s="57">
        <v>0</v>
      </c>
      <c r="L166" s="78">
        <f t="shared" si="35"/>
        <v>0</v>
      </c>
      <c r="M166" s="57">
        <v>0</v>
      </c>
      <c r="N166" s="57">
        <v>0</v>
      </c>
      <c r="O166" s="57">
        <v>0</v>
      </c>
      <c r="P166" s="57">
        <v>1</v>
      </c>
      <c r="Q166" s="57">
        <v>0</v>
      </c>
      <c r="R166" s="57">
        <v>0</v>
      </c>
    </row>
    <row r="167" spans="1:18" x14ac:dyDescent="0.25">
      <c r="A167" s="79">
        <v>42230</v>
      </c>
      <c r="B167" s="60"/>
      <c r="C167" s="59" t="s">
        <v>83</v>
      </c>
      <c r="D167" s="57">
        <v>0</v>
      </c>
      <c r="E167" s="57">
        <v>1</v>
      </c>
      <c r="F167" s="78">
        <f t="shared" si="33"/>
        <v>0</v>
      </c>
      <c r="G167" s="57">
        <v>0</v>
      </c>
      <c r="H167" s="57">
        <v>1</v>
      </c>
      <c r="I167" s="78">
        <f t="shared" si="34"/>
        <v>0</v>
      </c>
      <c r="J167" s="57">
        <v>2</v>
      </c>
      <c r="K167" s="57">
        <v>2</v>
      </c>
      <c r="L167" s="78">
        <f t="shared" si="35"/>
        <v>1</v>
      </c>
      <c r="M167" s="57">
        <v>2</v>
      </c>
      <c r="N167" s="57">
        <v>2</v>
      </c>
      <c r="O167" s="57">
        <v>0</v>
      </c>
      <c r="P167" s="57">
        <v>0</v>
      </c>
      <c r="Q167" s="57">
        <v>0</v>
      </c>
      <c r="R167" s="57">
        <v>2</v>
      </c>
    </row>
    <row r="168" spans="1:18" x14ac:dyDescent="0.25">
      <c r="A168" s="79">
        <v>42230</v>
      </c>
      <c r="B168" s="60"/>
      <c r="C168" s="59" t="s">
        <v>141</v>
      </c>
      <c r="D168" s="57">
        <v>3</v>
      </c>
      <c r="E168" s="57">
        <v>6</v>
      </c>
      <c r="F168" s="78">
        <f t="shared" si="33"/>
        <v>0.5</v>
      </c>
      <c r="G168" s="57">
        <v>0</v>
      </c>
      <c r="H168" s="57">
        <v>2</v>
      </c>
      <c r="I168" s="78">
        <f t="shared" si="34"/>
        <v>0</v>
      </c>
      <c r="J168" s="57">
        <v>1</v>
      </c>
      <c r="K168" s="57">
        <v>2</v>
      </c>
      <c r="L168" s="78">
        <f t="shared" si="35"/>
        <v>0.5</v>
      </c>
      <c r="M168" s="57">
        <v>4</v>
      </c>
      <c r="N168" s="57">
        <v>0</v>
      </c>
      <c r="O168" s="57">
        <v>0</v>
      </c>
      <c r="P168" s="57">
        <v>1</v>
      </c>
      <c r="Q168" s="57">
        <v>0</v>
      </c>
      <c r="R168" s="57">
        <v>7</v>
      </c>
    </row>
    <row r="169" spans="1:18" x14ac:dyDescent="0.25">
      <c r="A169" s="79">
        <v>42230</v>
      </c>
      <c r="B169" s="60"/>
      <c r="C169" s="59" t="s">
        <v>79</v>
      </c>
      <c r="D169" s="57">
        <v>5</v>
      </c>
      <c r="E169" s="57">
        <v>13</v>
      </c>
      <c r="F169" s="78">
        <f t="shared" si="33"/>
        <v>0.38461538461538464</v>
      </c>
      <c r="G169" s="57">
        <v>0</v>
      </c>
      <c r="H169" s="57">
        <v>0</v>
      </c>
      <c r="I169" s="78">
        <f t="shared" si="34"/>
        <v>0</v>
      </c>
      <c r="J169" s="57">
        <v>11</v>
      </c>
      <c r="K169" s="57">
        <v>11</v>
      </c>
      <c r="L169" s="78">
        <f t="shared" si="35"/>
        <v>1</v>
      </c>
      <c r="M169" s="57">
        <v>8</v>
      </c>
      <c r="N169" s="57">
        <v>1</v>
      </c>
      <c r="O169" s="57">
        <v>1</v>
      </c>
      <c r="P169" s="57">
        <v>0</v>
      </c>
      <c r="Q169" s="57">
        <v>2</v>
      </c>
      <c r="R169" s="57">
        <v>21</v>
      </c>
    </row>
    <row r="170" spans="1:18" x14ac:dyDescent="0.25">
      <c r="A170" s="79">
        <v>42230</v>
      </c>
      <c r="B170" s="60"/>
      <c r="C170" s="59" t="s">
        <v>96</v>
      </c>
      <c r="D170" s="57">
        <v>3</v>
      </c>
      <c r="E170" s="57">
        <v>8</v>
      </c>
      <c r="F170" s="78">
        <f t="shared" si="33"/>
        <v>0.375</v>
      </c>
      <c r="G170" s="57">
        <v>1</v>
      </c>
      <c r="H170" s="57">
        <v>3</v>
      </c>
      <c r="I170" s="78">
        <f t="shared" si="34"/>
        <v>0.33333333333333331</v>
      </c>
      <c r="J170" s="57">
        <v>2</v>
      </c>
      <c r="K170" s="57">
        <v>2</v>
      </c>
      <c r="L170" s="78">
        <f t="shared" si="35"/>
        <v>1</v>
      </c>
      <c r="M170" s="57">
        <v>3</v>
      </c>
      <c r="N170" s="57">
        <v>8</v>
      </c>
      <c r="O170" s="57">
        <v>0</v>
      </c>
      <c r="P170" s="57">
        <v>1</v>
      </c>
      <c r="Q170" s="57">
        <v>0</v>
      </c>
      <c r="R170" s="57">
        <v>9</v>
      </c>
    </row>
    <row r="171" spans="1:18" x14ac:dyDescent="0.25">
      <c r="A171" s="43">
        <v>42231</v>
      </c>
      <c r="B171" s="47"/>
      <c r="C171" s="81" t="s">
        <v>80</v>
      </c>
      <c r="D171" s="84">
        <v>4</v>
      </c>
      <c r="E171" s="84">
        <v>8</v>
      </c>
      <c r="F171" s="85">
        <f t="shared" ref="F171:F177" si="36">IF(E171=0,0,D171/E171)</f>
        <v>0.5</v>
      </c>
      <c r="G171" s="84">
        <v>0</v>
      </c>
      <c r="H171" s="84">
        <v>2</v>
      </c>
      <c r="I171" s="85">
        <f t="shared" ref="I171:I177" si="37">IF(H171=0,0,G171/H171)</f>
        <v>0</v>
      </c>
      <c r="J171" s="84">
        <v>0</v>
      </c>
      <c r="K171" s="84">
        <v>0</v>
      </c>
      <c r="L171" s="85">
        <f t="shared" ref="L171:L177" si="38">IF(K171=0,0,J171/K171)</f>
        <v>0</v>
      </c>
      <c r="M171" s="84">
        <v>3</v>
      </c>
      <c r="N171" s="84">
        <v>2</v>
      </c>
      <c r="O171" s="84">
        <v>2</v>
      </c>
      <c r="P171" s="84">
        <v>2</v>
      </c>
      <c r="Q171" s="84">
        <v>0</v>
      </c>
      <c r="R171" s="84">
        <v>8</v>
      </c>
    </row>
    <row r="172" spans="1:18" x14ac:dyDescent="0.25">
      <c r="A172" s="43">
        <v>42232</v>
      </c>
      <c r="B172" s="47"/>
      <c r="C172" s="80" t="s">
        <v>79</v>
      </c>
      <c r="D172" s="84">
        <v>7</v>
      </c>
      <c r="E172" s="84">
        <v>19</v>
      </c>
      <c r="F172" s="85">
        <f t="shared" si="36"/>
        <v>0.36842105263157893</v>
      </c>
      <c r="G172" s="84">
        <v>3</v>
      </c>
      <c r="H172" s="84">
        <v>5</v>
      </c>
      <c r="I172" s="85">
        <f t="shared" si="37"/>
        <v>0.6</v>
      </c>
      <c r="J172" s="84">
        <v>6</v>
      </c>
      <c r="K172" s="84">
        <v>6</v>
      </c>
      <c r="L172" s="85">
        <f t="shared" si="38"/>
        <v>1</v>
      </c>
      <c r="M172" s="84">
        <v>8</v>
      </c>
      <c r="N172" s="84">
        <v>0</v>
      </c>
      <c r="O172" s="84">
        <v>1</v>
      </c>
      <c r="P172" s="84">
        <v>0</v>
      </c>
      <c r="Q172" s="84">
        <v>1</v>
      </c>
      <c r="R172" s="84">
        <v>23</v>
      </c>
    </row>
    <row r="173" spans="1:18" x14ac:dyDescent="0.25">
      <c r="A173" s="43">
        <v>42232</v>
      </c>
      <c r="B173" s="47"/>
      <c r="C173" s="80" t="s">
        <v>60</v>
      </c>
      <c r="D173" s="84">
        <v>3</v>
      </c>
      <c r="E173" s="84">
        <v>9</v>
      </c>
      <c r="F173" s="85">
        <f t="shared" si="36"/>
        <v>0.33333333333333331</v>
      </c>
      <c r="G173" s="84">
        <v>0</v>
      </c>
      <c r="H173" s="84">
        <v>0</v>
      </c>
      <c r="I173" s="85">
        <f t="shared" si="37"/>
        <v>0</v>
      </c>
      <c r="J173" s="84">
        <v>2</v>
      </c>
      <c r="K173" s="84">
        <v>2</v>
      </c>
      <c r="L173" s="85">
        <f t="shared" si="38"/>
        <v>1</v>
      </c>
      <c r="M173" s="84">
        <v>6</v>
      </c>
      <c r="N173" s="84">
        <v>0</v>
      </c>
      <c r="O173" s="84">
        <v>1</v>
      </c>
      <c r="P173" s="84">
        <v>0</v>
      </c>
      <c r="Q173" s="84">
        <v>2</v>
      </c>
      <c r="R173" s="84">
        <v>8</v>
      </c>
    </row>
    <row r="174" spans="1:18" x14ac:dyDescent="0.25">
      <c r="A174" s="43">
        <v>42232</v>
      </c>
      <c r="B174" s="47"/>
      <c r="C174" s="80" t="s">
        <v>83</v>
      </c>
      <c r="D174" s="84">
        <v>4</v>
      </c>
      <c r="E174" s="84">
        <v>6</v>
      </c>
      <c r="F174" s="85">
        <f t="shared" si="36"/>
        <v>0.66666666666666663</v>
      </c>
      <c r="G174" s="84">
        <v>3</v>
      </c>
      <c r="H174" s="84">
        <v>4</v>
      </c>
      <c r="I174" s="85">
        <f t="shared" si="37"/>
        <v>0.75</v>
      </c>
      <c r="J174" s="84">
        <v>0</v>
      </c>
      <c r="K174" s="84">
        <v>0</v>
      </c>
      <c r="L174" s="85">
        <f t="shared" si="38"/>
        <v>0</v>
      </c>
      <c r="M174" s="84">
        <v>1</v>
      </c>
      <c r="N174" s="84">
        <v>1</v>
      </c>
      <c r="O174" s="84">
        <v>0</v>
      </c>
      <c r="P174" s="84">
        <v>0</v>
      </c>
      <c r="Q174" s="84">
        <v>0</v>
      </c>
      <c r="R174" s="84">
        <v>11</v>
      </c>
    </row>
    <row r="175" spans="1:18" x14ac:dyDescent="0.25">
      <c r="A175" s="43">
        <v>42232</v>
      </c>
      <c r="B175" s="47"/>
      <c r="C175" s="22" t="s">
        <v>101</v>
      </c>
      <c r="D175" s="84">
        <v>2</v>
      </c>
      <c r="E175" s="84">
        <v>11</v>
      </c>
      <c r="F175" s="85">
        <f t="shared" si="36"/>
        <v>0.18181818181818182</v>
      </c>
      <c r="G175" s="84">
        <v>0</v>
      </c>
      <c r="H175" s="84">
        <v>1</v>
      </c>
      <c r="I175" s="85">
        <f t="shared" si="37"/>
        <v>0</v>
      </c>
      <c r="J175" s="84">
        <v>0</v>
      </c>
      <c r="K175" s="84">
        <v>0</v>
      </c>
      <c r="L175" s="85">
        <f t="shared" si="38"/>
        <v>0</v>
      </c>
      <c r="M175" s="84">
        <v>9</v>
      </c>
      <c r="N175" s="84">
        <v>2</v>
      </c>
      <c r="O175" s="84">
        <v>2</v>
      </c>
      <c r="P175" s="84">
        <v>0</v>
      </c>
      <c r="Q175" s="84">
        <v>1</v>
      </c>
      <c r="R175" s="84">
        <v>4</v>
      </c>
    </row>
    <row r="176" spans="1:18" x14ac:dyDescent="0.25">
      <c r="A176" s="43">
        <v>42232</v>
      </c>
      <c r="B176" s="47"/>
      <c r="C176" s="22" t="s">
        <v>82</v>
      </c>
      <c r="D176" s="84">
        <v>0</v>
      </c>
      <c r="E176" s="84">
        <v>1</v>
      </c>
      <c r="F176" s="85">
        <f t="shared" si="36"/>
        <v>0</v>
      </c>
      <c r="G176" s="84">
        <v>0</v>
      </c>
      <c r="H176" s="84">
        <v>0</v>
      </c>
      <c r="I176" s="85">
        <f t="shared" si="37"/>
        <v>0</v>
      </c>
      <c r="J176" s="84">
        <v>2</v>
      </c>
      <c r="K176" s="84">
        <v>2</v>
      </c>
      <c r="L176" s="85">
        <f t="shared" si="38"/>
        <v>1</v>
      </c>
      <c r="M176" s="84">
        <v>2</v>
      </c>
      <c r="N176" s="84">
        <v>1</v>
      </c>
      <c r="O176" s="84">
        <v>1</v>
      </c>
      <c r="P176" s="84">
        <v>4</v>
      </c>
      <c r="Q176" s="84">
        <v>0</v>
      </c>
      <c r="R176" s="84">
        <v>2</v>
      </c>
    </row>
    <row r="177" spans="1:18" x14ac:dyDescent="0.25">
      <c r="A177" s="43">
        <v>42232</v>
      </c>
      <c r="B177" s="47"/>
      <c r="C177" s="22" t="s">
        <v>96</v>
      </c>
      <c r="D177" s="84">
        <v>5</v>
      </c>
      <c r="E177" s="84">
        <v>9</v>
      </c>
      <c r="F177" s="85">
        <f t="shared" si="36"/>
        <v>0.55555555555555558</v>
      </c>
      <c r="G177" s="84">
        <v>1</v>
      </c>
      <c r="H177" s="84">
        <v>1</v>
      </c>
      <c r="I177" s="85">
        <f t="shared" si="37"/>
        <v>1</v>
      </c>
      <c r="J177" s="84">
        <v>2</v>
      </c>
      <c r="K177" s="84">
        <v>3</v>
      </c>
      <c r="L177" s="85">
        <f t="shared" si="38"/>
        <v>0.66666666666666663</v>
      </c>
      <c r="M177" s="84">
        <v>2</v>
      </c>
      <c r="N177" s="84">
        <v>5</v>
      </c>
      <c r="O177" s="84">
        <v>0</v>
      </c>
      <c r="P177" s="84">
        <v>3</v>
      </c>
      <c r="Q177" s="84">
        <v>1</v>
      </c>
      <c r="R177" s="84">
        <v>13</v>
      </c>
    </row>
    <row r="178" spans="1:18" x14ac:dyDescent="0.25">
      <c r="A178" s="71">
        <v>42234</v>
      </c>
      <c r="B178" s="20"/>
      <c r="C178" s="15" t="s">
        <v>101</v>
      </c>
      <c r="D178" s="16">
        <v>6</v>
      </c>
      <c r="E178" s="16">
        <v>14</v>
      </c>
      <c r="F178" s="96">
        <f t="shared" ref="F178:F193" si="39">IF(E178=0,0,D178/E178)</f>
        <v>0.42857142857142855</v>
      </c>
      <c r="G178" s="16">
        <v>1</v>
      </c>
      <c r="H178" s="16">
        <v>4</v>
      </c>
      <c r="I178" s="96">
        <f t="shared" ref="I178:I193" si="40">IF(H178=0,0,G178/H178)</f>
        <v>0.25</v>
      </c>
      <c r="J178" s="16">
        <v>7</v>
      </c>
      <c r="K178" s="16">
        <v>7</v>
      </c>
      <c r="L178" s="96">
        <f t="shared" ref="L178:L193" si="41">IF(K178=0,0,J178/K178)</f>
        <v>1</v>
      </c>
      <c r="M178" s="16">
        <v>7</v>
      </c>
      <c r="N178" s="16">
        <v>2</v>
      </c>
      <c r="O178" s="16">
        <v>3</v>
      </c>
      <c r="P178" s="16">
        <v>2</v>
      </c>
      <c r="Q178" s="16">
        <v>0</v>
      </c>
      <c r="R178" s="16">
        <v>20</v>
      </c>
    </row>
    <row r="179" spans="1:18" x14ac:dyDescent="0.25">
      <c r="A179" s="71">
        <v>42235</v>
      </c>
      <c r="B179" s="20"/>
      <c r="C179" s="15" t="s">
        <v>82</v>
      </c>
      <c r="D179" s="16">
        <v>2</v>
      </c>
      <c r="E179" s="16">
        <v>8</v>
      </c>
      <c r="F179" s="96">
        <f t="shared" si="39"/>
        <v>0.25</v>
      </c>
      <c r="G179" s="16">
        <v>0</v>
      </c>
      <c r="H179" s="16">
        <v>0</v>
      </c>
      <c r="I179" s="96">
        <f t="shared" si="40"/>
        <v>0</v>
      </c>
      <c r="J179" s="16">
        <v>0</v>
      </c>
      <c r="K179" s="16">
        <v>0</v>
      </c>
      <c r="L179" s="96">
        <f t="shared" si="41"/>
        <v>0</v>
      </c>
      <c r="M179" s="16">
        <v>2</v>
      </c>
      <c r="N179" s="16">
        <v>0</v>
      </c>
      <c r="O179" s="16">
        <v>0</v>
      </c>
      <c r="P179" s="16">
        <v>0</v>
      </c>
      <c r="Q179" s="16">
        <v>0</v>
      </c>
      <c r="R179" s="16">
        <v>4</v>
      </c>
    </row>
    <row r="180" spans="1:18" x14ac:dyDescent="0.25">
      <c r="A180" s="71">
        <v>42235</v>
      </c>
      <c r="B180" s="20"/>
      <c r="C180" s="15" t="s">
        <v>141</v>
      </c>
      <c r="D180" s="16">
        <v>0</v>
      </c>
      <c r="E180" s="16">
        <v>2</v>
      </c>
      <c r="F180" s="96">
        <f t="shared" si="39"/>
        <v>0</v>
      </c>
      <c r="G180" s="16">
        <v>0</v>
      </c>
      <c r="H180" s="16">
        <v>1</v>
      </c>
      <c r="I180" s="96">
        <f t="shared" si="40"/>
        <v>0</v>
      </c>
      <c r="J180" s="16">
        <v>0</v>
      </c>
      <c r="K180" s="16">
        <v>0</v>
      </c>
      <c r="L180" s="96">
        <f t="shared" si="41"/>
        <v>0</v>
      </c>
      <c r="M180" s="16">
        <v>1</v>
      </c>
      <c r="N180" s="16">
        <v>0</v>
      </c>
      <c r="O180" s="16">
        <v>0</v>
      </c>
      <c r="P180" s="16">
        <v>2</v>
      </c>
      <c r="Q180" s="16">
        <v>0</v>
      </c>
      <c r="R180" s="16">
        <v>0</v>
      </c>
    </row>
    <row r="181" spans="1:18" x14ac:dyDescent="0.25">
      <c r="A181" s="71">
        <v>42235</v>
      </c>
      <c r="B181" s="20"/>
      <c r="C181" s="15" t="s">
        <v>83</v>
      </c>
      <c r="D181" s="16">
        <v>0</v>
      </c>
      <c r="E181" s="16">
        <v>0</v>
      </c>
      <c r="F181" s="96">
        <f t="shared" si="39"/>
        <v>0</v>
      </c>
      <c r="G181" s="16">
        <v>0</v>
      </c>
      <c r="H181" s="16">
        <v>0</v>
      </c>
      <c r="I181" s="96">
        <f t="shared" si="40"/>
        <v>0</v>
      </c>
      <c r="J181" s="16">
        <v>0</v>
      </c>
      <c r="K181" s="16">
        <v>0</v>
      </c>
      <c r="L181" s="96">
        <f t="shared" si="41"/>
        <v>0</v>
      </c>
      <c r="M181" s="16">
        <v>0</v>
      </c>
      <c r="N181" s="16">
        <v>0</v>
      </c>
      <c r="O181" s="16">
        <v>1</v>
      </c>
      <c r="P181" s="16">
        <v>0</v>
      </c>
      <c r="Q181" s="16">
        <v>0</v>
      </c>
      <c r="R181" s="16">
        <v>0</v>
      </c>
    </row>
    <row r="182" spans="1:18" x14ac:dyDescent="0.25">
      <c r="A182" s="71">
        <v>42237</v>
      </c>
      <c r="B182" s="20"/>
      <c r="C182" s="15" t="s">
        <v>60</v>
      </c>
      <c r="D182" s="16">
        <v>2</v>
      </c>
      <c r="E182" s="16">
        <v>9</v>
      </c>
      <c r="F182" s="96">
        <f t="shared" si="39"/>
        <v>0.22222222222222221</v>
      </c>
      <c r="G182" s="16">
        <v>0</v>
      </c>
      <c r="H182" s="16">
        <v>0</v>
      </c>
      <c r="I182" s="96">
        <f t="shared" si="40"/>
        <v>0</v>
      </c>
      <c r="J182" s="16">
        <v>4</v>
      </c>
      <c r="K182" s="16">
        <v>4</v>
      </c>
      <c r="L182" s="96">
        <f t="shared" si="41"/>
        <v>1</v>
      </c>
      <c r="M182" s="16">
        <v>6</v>
      </c>
      <c r="N182" s="16">
        <v>1</v>
      </c>
      <c r="O182" s="16">
        <v>1</v>
      </c>
      <c r="P182" s="16">
        <v>1</v>
      </c>
      <c r="Q182" s="16">
        <v>0</v>
      </c>
      <c r="R182" s="16">
        <v>8</v>
      </c>
    </row>
    <row r="183" spans="1:18" x14ac:dyDescent="0.25">
      <c r="A183" s="71">
        <v>42237</v>
      </c>
      <c r="B183" s="20"/>
      <c r="C183" s="15" t="s">
        <v>141</v>
      </c>
      <c r="D183" s="16">
        <v>6</v>
      </c>
      <c r="E183" s="16">
        <v>9</v>
      </c>
      <c r="F183" s="96">
        <f t="shared" si="39"/>
        <v>0.66666666666666663</v>
      </c>
      <c r="G183" s="16">
        <v>0</v>
      </c>
      <c r="H183" s="16">
        <v>1</v>
      </c>
      <c r="I183" s="96">
        <f t="shared" si="40"/>
        <v>0</v>
      </c>
      <c r="J183" s="16">
        <v>2</v>
      </c>
      <c r="K183" s="16">
        <v>2</v>
      </c>
      <c r="L183" s="96">
        <f t="shared" si="41"/>
        <v>1</v>
      </c>
      <c r="M183" s="16">
        <v>5</v>
      </c>
      <c r="N183" s="16">
        <v>3</v>
      </c>
      <c r="O183" s="16">
        <v>1</v>
      </c>
      <c r="P183" s="16">
        <v>2</v>
      </c>
      <c r="Q183" s="16">
        <v>0</v>
      </c>
      <c r="R183" s="16">
        <v>14</v>
      </c>
    </row>
    <row r="184" spans="1:18" x14ac:dyDescent="0.25">
      <c r="A184" s="71">
        <v>42237</v>
      </c>
      <c r="B184" s="20"/>
      <c r="C184" s="15" t="s">
        <v>83</v>
      </c>
      <c r="D184" s="16">
        <v>0</v>
      </c>
      <c r="E184" s="16">
        <v>1</v>
      </c>
      <c r="F184" s="96">
        <f t="shared" si="39"/>
        <v>0</v>
      </c>
      <c r="G184" s="16">
        <v>0</v>
      </c>
      <c r="H184" s="16">
        <v>0</v>
      </c>
      <c r="I184" s="96">
        <f t="shared" si="40"/>
        <v>0</v>
      </c>
      <c r="J184" s="16">
        <v>1</v>
      </c>
      <c r="K184" s="16">
        <v>1</v>
      </c>
      <c r="L184" s="96">
        <f t="shared" si="41"/>
        <v>1</v>
      </c>
      <c r="M184" s="16">
        <v>0</v>
      </c>
      <c r="N184" s="16">
        <v>0</v>
      </c>
      <c r="O184" s="16">
        <v>0</v>
      </c>
      <c r="P184" s="16">
        <v>2</v>
      </c>
      <c r="Q184" s="16">
        <v>0</v>
      </c>
      <c r="R184" s="16">
        <v>1</v>
      </c>
    </row>
    <row r="185" spans="1:18" x14ac:dyDescent="0.25">
      <c r="A185" s="71">
        <v>42237</v>
      </c>
      <c r="B185" s="20"/>
      <c r="C185" s="15" t="s">
        <v>79</v>
      </c>
      <c r="D185" s="16">
        <v>10</v>
      </c>
      <c r="E185" s="16">
        <v>22</v>
      </c>
      <c r="F185" s="96">
        <f t="shared" si="39"/>
        <v>0.45454545454545453</v>
      </c>
      <c r="G185" s="16">
        <v>2</v>
      </c>
      <c r="H185" s="16">
        <v>7</v>
      </c>
      <c r="I185" s="96">
        <f t="shared" si="40"/>
        <v>0.2857142857142857</v>
      </c>
      <c r="J185" s="16">
        <v>0</v>
      </c>
      <c r="K185" s="16">
        <v>0</v>
      </c>
      <c r="L185" s="96">
        <f t="shared" si="41"/>
        <v>0</v>
      </c>
      <c r="M185" s="16">
        <v>8</v>
      </c>
      <c r="N185" s="16">
        <v>3</v>
      </c>
      <c r="O185" s="16">
        <v>3</v>
      </c>
      <c r="P185" s="16">
        <v>2</v>
      </c>
      <c r="Q185" s="16">
        <v>2</v>
      </c>
      <c r="R185" s="16">
        <v>22</v>
      </c>
    </row>
    <row r="186" spans="1:18" x14ac:dyDescent="0.25">
      <c r="A186" s="71">
        <v>42237</v>
      </c>
      <c r="B186" s="20"/>
      <c r="C186" s="15" t="s">
        <v>101</v>
      </c>
      <c r="D186" s="16">
        <v>6</v>
      </c>
      <c r="E186" s="16">
        <v>10</v>
      </c>
      <c r="F186" s="96">
        <f t="shared" si="39"/>
        <v>0.6</v>
      </c>
      <c r="G186" s="16">
        <v>0</v>
      </c>
      <c r="H186" s="16">
        <v>0</v>
      </c>
      <c r="I186" s="96">
        <f t="shared" si="40"/>
        <v>0</v>
      </c>
      <c r="J186" s="16">
        <v>2</v>
      </c>
      <c r="K186" s="16">
        <v>2</v>
      </c>
      <c r="L186" s="96">
        <f t="shared" si="41"/>
        <v>1</v>
      </c>
      <c r="M186" s="16">
        <v>3</v>
      </c>
      <c r="N186" s="16">
        <v>3</v>
      </c>
      <c r="O186" s="16">
        <v>3</v>
      </c>
      <c r="P186" s="16">
        <v>0</v>
      </c>
      <c r="Q186" s="16">
        <v>0</v>
      </c>
      <c r="R186" s="16">
        <v>14</v>
      </c>
    </row>
    <row r="187" spans="1:18" x14ac:dyDescent="0.25">
      <c r="A187" s="71">
        <v>42237</v>
      </c>
      <c r="B187" s="20"/>
      <c r="C187" s="15" t="s">
        <v>96</v>
      </c>
      <c r="D187" s="16">
        <v>3</v>
      </c>
      <c r="E187" s="16">
        <v>10</v>
      </c>
      <c r="F187" s="96">
        <f t="shared" si="39"/>
        <v>0.3</v>
      </c>
      <c r="G187" s="16">
        <v>1</v>
      </c>
      <c r="H187" s="16">
        <v>3</v>
      </c>
      <c r="I187" s="96">
        <f t="shared" si="40"/>
        <v>0.33333333333333331</v>
      </c>
      <c r="J187" s="16">
        <v>2</v>
      </c>
      <c r="K187" s="16">
        <v>3</v>
      </c>
      <c r="L187" s="96">
        <f t="shared" si="41"/>
        <v>0.66666666666666663</v>
      </c>
      <c r="M187" s="16">
        <v>2</v>
      </c>
      <c r="N187" s="16">
        <v>3</v>
      </c>
      <c r="O187" s="16">
        <v>1</v>
      </c>
      <c r="P187" s="16">
        <v>4</v>
      </c>
      <c r="Q187" s="16">
        <v>0</v>
      </c>
      <c r="R187" s="16">
        <v>9</v>
      </c>
    </row>
    <row r="188" spans="1:18" x14ac:dyDescent="0.25">
      <c r="A188" s="21">
        <v>42239</v>
      </c>
      <c r="B188" s="20"/>
      <c r="C188" s="15" t="s">
        <v>79</v>
      </c>
      <c r="D188" s="16">
        <v>7</v>
      </c>
      <c r="E188" s="16">
        <v>22</v>
      </c>
      <c r="F188" s="96">
        <f t="shared" si="39"/>
        <v>0.31818181818181818</v>
      </c>
      <c r="G188" s="16">
        <v>1</v>
      </c>
      <c r="H188" s="16">
        <v>3</v>
      </c>
      <c r="I188" s="96">
        <f t="shared" si="40"/>
        <v>0.33333333333333331</v>
      </c>
      <c r="J188" s="16">
        <v>3</v>
      </c>
      <c r="K188" s="16">
        <v>4</v>
      </c>
      <c r="L188" s="96">
        <f t="shared" si="41"/>
        <v>0.75</v>
      </c>
      <c r="M188" s="16">
        <v>10</v>
      </c>
      <c r="N188" s="16">
        <v>0</v>
      </c>
      <c r="O188" s="16">
        <v>0</v>
      </c>
      <c r="P188" s="16">
        <v>0</v>
      </c>
      <c r="Q188" s="16">
        <v>4</v>
      </c>
      <c r="R188" s="16">
        <v>18</v>
      </c>
    </row>
    <row r="189" spans="1:18" x14ac:dyDescent="0.25">
      <c r="A189" s="21">
        <v>42239</v>
      </c>
      <c r="B189" s="20"/>
      <c r="C189" s="15" t="s">
        <v>101</v>
      </c>
      <c r="D189" s="16">
        <v>3</v>
      </c>
      <c r="E189" s="16">
        <v>13</v>
      </c>
      <c r="F189" s="96">
        <f t="shared" si="39"/>
        <v>0.23076923076923078</v>
      </c>
      <c r="G189" s="16">
        <v>1</v>
      </c>
      <c r="H189" s="16">
        <v>4</v>
      </c>
      <c r="I189" s="96">
        <f t="shared" si="40"/>
        <v>0.25</v>
      </c>
      <c r="J189" s="16">
        <v>7</v>
      </c>
      <c r="K189" s="16">
        <v>9</v>
      </c>
      <c r="L189" s="96">
        <f t="shared" si="41"/>
        <v>0.77777777777777779</v>
      </c>
      <c r="M189" s="16">
        <v>7</v>
      </c>
      <c r="N189" s="16">
        <v>1</v>
      </c>
      <c r="O189" s="16">
        <v>1</v>
      </c>
      <c r="P189" s="16">
        <v>1</v>
      </c>
      <c r="Q189" s="16">
        <v>0</v>
      </c>
      <c r="R189" s="16">
        <v>14</v>
      </c>
    </row>
    <row r="190" spans="1:18" x14ac:dyDescent="0.25">
      <c r="A190" s="21">
        <v>42239</v>
      </c>
      <c r="B190" s="20"/>
      <c r="C190" s="15" t="s">
        <v>157</v>
      </c>
      <c r="D190" s="16">
        <v>2</v>
      </c>
      <c r="E190" s="16">
        <v>5</v>
      </c>
      <c r="F190" s="96">
        <f t="shared" si="39"/>
        <v>0.4</v>
      </c>
      <c r="G190" s="16">
        <v>0</v>
      </c>
      <c r="H190" s="16">
        <v>0</v>
      </c>
      <c r="I190" s="96">
        <f t="shared" si="40"/>
        <v>0</v>
      </c>
      <c r="J190" s="16">
        <v>1</v>
      </c>
      <c r="K190" s="16">
        <v>1</v>
      </c>
      <c r="L190" s="96">
        <f t="shared" si="41"/>
        <v>1</v>
      </c>
      <c r="M190" s="16">
        <v>1</v>
      </c>
      <c r="N190" s="16">
        <v>1</v>
      </c>
      <c r="O190" s="16">
        <v>0</v>
      </c>
      <c r="P190" s="16">
        <v>1</v>
      </c>
      <c r="Q190" s="16">
        <v>0</v>
      </c>
      <c r="R190" s="16">
        <v>5</v>
      </c>
    </row>
    <row r="191" spans="1:18" x14ac:dyDescent="0.25">
      <c r="A191" s="21">
        <v>42239</v>
      </c>
      <c r="B191" s="20"/>
      <c r="C191" s="15" t="s">
        <v>83</v>
      </c>
      <c r="D191" s="16">
        <v>0</v>
      </c>
      <c r="E191" s="16">
        <v>0</v>
      </c>
      <c r="F191" s="96">
        <f t="shared" si="39"/>
        <v>0</v>
      </c>
      <c r="G191" s="16">
        <v>0</v>
      </c>
      <c r="H191" s="16">
        <v>0</v>
      </c>
      <c r="I191" s="96">
        <f t="shared" si="40"/>
        <v>0</v>
      </c>
      <c r="J191" s="16">
        <v>0</v>
      </c>
      <c r="K191" s="16">
        <v>0</v>
      </c>
      <c r="L191" s="96">
        <f t="shared" si="41"/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</row>
    <row r="192" spans="1:18" x14ac:dyDescent="0.25">
      <c r="A192" s="21">
        <v>42239</v>
      </c>
      <c r="B192" s="20"/>
      <c r="C192" s="15" t="s">
        <v>141</v>
      </c>
      <c r="D192" s="16">
        <v>6</v>
      </c>
      <c r="E192" s="16">
        <v>10</v>
      </c>
      <c r="F192" s="96">
        <f t="shared" si="39"/>
        <v>0.6</v>
      </c>
      <c r="G192" s="16">
        <v>3</v>
      </c>
      <c r="H192" s="16">
        <v>3</v>
      </c>
      <c r="I192" s="96">
        <f t="shared" si="40"/>
        <v>1</v>
      </c>
      <c r="J192" s="16">
        <v>0</v>
      </c>
      <c r="K192" s="16">
        <v>0</v>
      </c>
      <c r="L192" s="96">
        <f t="shared" si="41"/>
        <v>0</v>
      </c>
      <c r="M192" s="16">
        <v>7</v>
      </c>
      <c r="N192" s="16">
        <v>2</v>
      </c>
      <c r="O192" s="16">
        <v>1</v>
      </c>
      <c r="P192" s="16">
        <v>2</v>
      </c>
      <c r="Q192" s="16">
        <v>0</v>
      </c>
      <c r="R192" s="16">
        <v>15</v>
      </c>
    </row>
    <row r="193" spans="1:18" x14ac:dyDescent="0.25">
      <c r="A193" s="21">
        <v>42239</v>
      </c>
      <c r="B193" s="20"/>
      <c r="C193" s="15" t="s">
        <v>60</v>
      </c>
      <c r="D193" s="16">
        <v>7</v>
      </c>
      <c r="E193" s="16">
        <v>8</v>
      </c>
      <c r="F193" s="96">
        <f t="shared" si="39"/>
        <v>0.875</v>
      </c>
      <c r="G193" s="16">
        <v>1</v>
      </c>
      <c r="H193" s="16">
        <v>1</v>
      </c>
      <c r="I193" s="96">
        <f t="shared" si="40"/>
        <v>1</v>
      </c>
      <c r="J193" s="16">
        <v>0</v>
      </c>
      <c r="K193" s="16">
        <v>0</v>
      </c>
      <c r="L193" s="96">
        <f t="shared" si="41"/>
        <v>0</v>
      </c>
      <c r="M193" s="16">
        <v>6</v>
      </c>
      <c r="N193" s="16">
        <v>1</v>
      </c>
      <c r="O193" s="16">
        <v>2</v>
      </c>
      <c r="P193" s="16">
        <v>3</v>
      </c>
      <c r="Q193" s="16">
        <v>0</v>
      </c>
      <c r="R193" s="16">
        <v>15</v>
      </c>
    </row>
    <row r="194" spans="1:18" x14ac:dyDescent="0.25">
      <c r="A194" s="71">
        <v>42241</v>
      </c>
      <c r="B194" s="20"/>
      <c r="C194" s="15" t="s">
        <v>157</v>
      </c>
      <c r="D194" s="16">
        <v>2</v>
      </c>
      <c r="E194" s="16">
        <v>3</v>
      </c>
      <c r="F194" s="98">
        <f t="shared" ref="F194:F206" si="42">IF(E194=0,0,D194/E194)</f>
        <v>0.66666666666666663</v>
      </c>
      <c r="G194" s="16">
        <v>0</v>
      </c>
      <c r="H194" s="16">
        <v>0</v>
      </c>
      <c r="I194" s="98">
        <f t="shared" ref="I194:I206" si="43">IF(H194=0,0,G194/H194)</f>
        <v>0</v>
      </c>
      <c r="J194" s="16">
        <v>0</v>
      </c>
      <c r="K194" s="16">
        <v>0</v>
      </c>
      <c r="L194" s="98">
        <f t="shared" ref="L194:L206" si="44">IF(K194=0,0,J194/K194)</f>
        <v>0</v>
      </c>
      <c r="M194" s="16">
        <v>3</v>
      </c>
      <c r="N194" s="16">
        <v>0</v>
      </c>
      <c r="O194" s="16">
        <v>0</v>
      </c>
      <c r="P194" s="16">
        <v>1</v>
      </c>
      <c r="Q194" s="16">
        <v>0</v>
      </c>
      <c r="R194" s="16">
        <v>4</v>
      </c>
    </row>
    <row r="195" spans="1:18" x14ac:dyDescent="0.25">
      <c r="A195" s="71">
        <v>42242</v>
      </c>
      <c r="B195" s="20"/>
      <c r="C195" s="15" t="s">
        <v>101</v>
      </c>
      <c r="D195" s="16">
        <v>4</v>
      </c>
      <c r="E195" s="16">
        <v>11</v>
      </c>
      <c r="F195" s="98">
        <f t="shared" si="42"/>
        <v>0.36363636363636365</v>
      </c>
      <c r="G195" s="16">
        <v>0</v>
      </c>
      <c r="H195" s="16">
        <v>1</v>
      </c>
      <c r="I195" s="98">
        <f t="shared" si="43"/>
        <v>0</v>
      </c>
      <c r="J195" s="16">
        <v>2</v>
      </c>
      <c r="K195" s="16">
        <v>2</v>
      </c>
      <c r="L195" s="98">
        <f t="shared" si="44"/>
        <v>1</v>
      </c>
      <c r="M195" s="16">
        <v>10</v>
      </c>
      <c r="N195" s="16">
        <v>4</v>
      </c>
      <c r="O195" s="16">
        <v>5</v>
      </c>
      <c r="P195" s="16">
        <v>2</v>
      </c>
      <c r="Q195" s="16">
        <v>0</v>
      </c>
      <c r="R195" s="16">
        <v>10</v>
      </c>
    </row>
    <row r="196" spans="1:18" x14ac:dyDescent="0.25">
      <c r="A196" s="71">
        <v>42244</v>
      </c>
      <c r="B196" s="20"/>
      <c r="C196" s="15" t="s">
        <v>60</v>
      </c>
      <c r="D196" s="16">
        <v>0</v>
      </c>
      <c r="E196" s="16">
        <v>0</v>
      </c>
      <c r="F196" s="98">
        <f t="shared" si="42"/>
        <v>0</v>
      </c>
      <c r="G196" s="16">
        <v>0</v>
      </c>
      <c r="H196" s="16">
        <v>0</v>
      </c>
      <c r="I196" s="98">
        <f t="shared" si="43"/>
        <v>0</v>
      </c>
      <c r="J196" s="16">
        <v>2</v>
      </c>
      <c r="K196" s="16">
        <v>2</v>
      </c>
      <c r="L196" s="98">
        <f t="shared" si="44"/>
        <v>1</v>
      </c>
      <c r="M196" s="16">
        <v>0</v>
      </c>
      <c r="N196" s="16">
        <v>0</v>
      </c>
      <c r="O196" s="16">
        <v>1</v>
      </c>
      <c r="P196" s="16">
        <v>0</v>
      </c>
      <c r="Q196" s="16">
        <v>0</v>
      </c>
      <c r="R196" s="16">
        <v>2</v>
      </c>
    </row>
    <row r="197" spans="1:18" x14ac:dyDescent="0.25">
      <c r="A197" s="71">
        <v>42244</v>
      </c>
      <c r="B197" s="20"/>
      <c r="C197" s="15" t="s">
        <v>101</v>
      </c>
      <c r="D197" s="16">
        <v>6</v>
      </c>
      <c r="E197" s="16">
        <v>10</v>
      </c>
      <c r="F197" s="98">
        <f t="shared" si="42"/>
        <v>0.6</v>
      </c>
      <c r="G197" s="16">
        <v>1</v>
      </c>
      <c r="H197" s="16">
        <v>3</v>
      </c>
      <c r="I197" s="98">
        <f t="shared" si="43"/>
        <v>0.33333333333333331</v>
      </c>
      <c r="J197" s="16">
        <v>11</v>
      </c>
      <c r="K197" s="16">
        <v>11</v>
      </c>
      <c r="L197" s="98">
        <f t="shared" si="44"/>
        <v>1</v>
      </c>
      <c r="M197" s="16">
        <v>7</v>
      </c>
      <c r="N197" s="16">
        <v>3</v>
      </c>
      <c r="O197" s="16">
        <v>3</v>
      </c>
      <c r="P197" s="16">
        <v>1</v>
      </c>
      <c r="Q197" s="16">
        <v>0</v>
      </c>
      <c r="R197" s="16">
        <v>24</v>
      </c>
    </row>
    <row r="198" spans="1:18" x14ac:dyDescent="0.25">
      <c r="A198" s="71">
        <v>42244</v>
      </c>
      <c r="B198" s="20"/>
      <c r="C198" s="15" t="s">
        <v>141</v>
      </c>
      <c r="D198" s="16">
        <v>2</v>
      </c>
      <c r="E198" s="16">
        <v>7</v>
      </c>
      <c r="F198" s="98">
        <f t="shared" si="42"/>
        <v>0.2857142857142857</v>
      </c>
      <c r="G198" s="16">
        <v>0</v>
      </c>
      <c r="H198" s="16">
        <v>2</v>
      </c>
      <c r="I198" s="98">
        <f t="shared" si="43"/>
        <v>0</v>
      </c>
      <c r="J198" s="16">
        <v>0</v>
      </c>
      <c r="K198" s="16">
        <v>0</v>
      </c>
      <c r="L198" s="98">
        <f t="shared" si="44"/>
        <v>0</v>
      </c>
      <c r="M198" s="16">
        <v>0</v>
      </c>
      <c r="N198" s="16">
        <v>3</v>
      </c>
      <c r="O198" s="16">
        <v>1</v>
      </c>
      <c r="P198" s="16">
        <v>0</v>
      </c>
      <c r="Q198" s="16">
        <v>0</v>
      </c>
      <c r="R198" s="16">
        <v>4</v>
      </c>
    </row>
    <row r="199" spans="1:18" x14ac:dyDescent="0.25">
      <c r="A199" s="71">
        <v>42244</v>
      </c>
      <c r="B199" s="20"/>
      <c r="C199" s="15" t="s">
        <v>108</v>
      </c>
      <c r="D199" s="16">
        <v>2</v>
      </c>
      <c r="E199" s="16">
        <v>11</v>
      </c>
      <c r="F199" s="98">
        <f t="shared" si="42"/>
        <v>0.18181818181818182</v>
      </c>
      <c r="G199" s="16">
        <v>0</v>
      </c>
      <c r="H199" s="16">
        <v>1</v>
      </c>
      <c r="I199" s="98">
        <f t="shared" si="43"/>
        <v>0</v>
      </c>
      <c r="J199" s="16">
        <v>3</v>
      </c>
      <c r="K199" s="16">
        <v>4</v>
      </c>
      <c r="L199" s="98">
        <f t="shared" si="44"/>
        <v>0.75</v>
      </c>
      <c r="M199" s="16">
        <v>2</v>
      </c>
      <c r="N199" s="16">
        <v>2</v>
      </c>
      <c r="O199" s="16">
        <v>1</v>
      </c>
      <c r="P199" s="16">
        <v>1</v>
      </c>
      <c r="Q199" s="16">
        <v>1</v>
      </c>
      <c r="R199" s="16">
        <v>7</v>
      </c>
    </row>
    <row r="200" spans="1:18" x14ac:dyDescent="0.25">
      <c r="A200" s="71">
        <v>42244</v>
      </c>
      <c r="B200" s="20"/>
      <c r="C200" s="15" t="s">
        <v>83</v>
      </c>
      <c r="D200" s="16">
        <v>0</v>
      </c>
      <c r="E200" s="16">
        <v>2</v>
      </c>
      <c r="F200" s="98">
        <f t="shared" si="42"/>
        <v>0</v>
      </c>
      <c r="G200" s="16">
        <v>0</v>
      </c>
      <c r="H200" s="16">
        <v>1</v>
      </c>
      <c r="I200" s="98">
        <f t="shared" si="43"/>
        <v>0</v>
      </c>
      <c r="J200" s="16">
        <v>0</v>
      </c>
      <c r="K200" s="16">
        <v>0</v>
      </c>
      <c r="L200" s="98">
        <f t="shared" si="44"/>
        <v>0</v>
      </c>
      <c r="M200" s="16">
        <v>1</v>
      </c>
      <c r="N200" s="16">
        <v>2</v>
      </c>
      <c r="O200" s="16">
        <v>0</v>
      </c>
      <c r="P200" s="16">
        <v>1</v>
      </c>
      <c r="Q200" s="16">
        <v>0</v>
      </c>
      <c r="R200" s="16">
        <v>0</v>
      </c>
    </row>
    <row r="201" spans="1:18" x14ac:dyDescent="0.25">
      <c r="A201" s="71">
        <v>42244</v>
      </c>
      <c r="B201" s="20"/>
      <c r="C201" s="15" t="s">
        <v>82</v>
      </c>
      <c r="D201" s="16">
        <v>0</v>
      </c>
      <c r="E201" s="16">
        <v>3</v>
      </c>
      <c r="F201" s="98">
        <f t="shared" si="42"/>
        <v>0</v>
      </c>
      <c r="G201" s="16">
        <v>0</v>
      </c>
      <c r="H201" s="16">
        <v>0</v>
      </c>
      <c r="I201" s="98">
        <f t="shared" si="43"/>
        <v>0</v>
      </c>
      <c r="J201" s="16">
        <v>2</v>
      </c>
      <c r="K201" s="16">
        <v>2</v>
      </c>
      <c r="L201" s="98">
        <f t="shared" si="44"/>
        <v>1</v>
      </c>
      <c r="M201" s="16">
        <v>4</v>
      </c>
      <c r="N201" s="16">
        <v>0</v>
      </c>
      <c r="O201" s="16">
        <v>0</v>
      </c>
      <c r="P201" s="16">
        <v>0</v>
      </c>
      <c r="Q201" s="16">
        <v>0</v>
      </c>
      <c r="R201" s="16">
        <v>2</v>
      </c>
    </row>
    <row r="202" spans="1:18" x14ac:dyDescent="0.25">
      <c r="A202" s="21">
        <v>42245</v>
      </c>
      <c r="B202" s="20"/>
      <c r="C202" s="20" t="s">
        <v>60</v>
      </c>
      <c r="D202" s="99">
        <v>3</v>
      </c>
      <c r="E202" s="99">
        <v>7</v>
      </c>
      <c r="F202" s="98">
        <f t="shared" si="42"/>
        <v>0.42857142857142855</v>
      </c>
      <c r="G202" s="99">
        <v>0</v>
      </c>
      <c r="H202" s="99">
        <v>1</v>
      </c>
      <c r="I202" s="98">
        <f t="shared" si="43"/>
        <v>0</v>
      </c>
      <c r="J202" s="99">
        <v>2</v>
      </c>
      <c r="K202" s="99">
        <v>2</v>
      </c>
      <c r="L202" s="98">
        <f t="shared" si="44"/>
        <v>1</v>
      </c>
      <c r="M202" s="99">
        <v>1</v>
      </c>
      <c r="N202" s="99">
        <v>0</v>
      </c>
      <c r="O202" s="99">
        <v>0</v>
      </c>
      <c r="P202" s="99">
        <v>0</v>
      </c>
      <c r="Q202" s="99">
        <v>0</v>
      </c>
      <c r="R202" s="99">
        <v>8</v>
      </c>
    </row>
    <row r="203" spans="1:18" x14ac:dyDescent="0.25">
      <c r="A203" s="21">
        <v>42245</v>
      </c>
      <c r="B203" s="20"/>
      <c r="C203" s="20" t="s">
        <v>157</v>
      </c>
      <c r="D203" s="99">
        <v>2</v>
      </c>
      <c r="E203" s="99">
        <v>6</v>
      </c>
      <c r="F203" s="98">
        <f t="shared" si="42"/>
        <v>0.33333333333333331</v>
      </c>
      <c r="G203" s="99">
        <v>0</v>
      </c>
      <c r="H203" s="99">
        <v>0</v>
      </c>
      <c r="I203" s="98">
        <f t="shared" si="43"/>
        <v>0</v>
      </c>
      <c r="J203" s="99">
        <v>3</v>
      </c>
      <c r="K203" s="99">
        <v>4</v>
      </c>
      <c r="L203" s="98">
        <f t="shared" si="44"/>
        <v>0.75</v>
      </c>
      <c r="M203" s="99">
        <v>3</v>
      </c>
      <c r="N203" s="99">
        <v>0</v>
      </c>
      <c r="O203" s="99">
        <v>0</v>
      </c>
      <c r="P203" s="99">
        <v>0</v>
      </c>
      <c r="Q203" s="99">
        <v>2</v>
      </c>
      <c r="R203" s="99">
        <v>7</v>
      </c>
    </row>
    <row r="204" spans="1:18" x14ac:dyDescent="0.25">
      <c r="A204" s="71">
        <v>42246</v>
      </c>
      <c r="B204" s="20"/>
      <c r="C204" s="15" t="s">
        <v>141</v>
      </c>
      <c r="D204" s="16">
        <v>3</v>
      </c>
      <c r="E204" s="16">
        <v>10</v>
      </c>
      <c r="F204" s="98">
        <f t="shared" si="42"/>
        <v>0.3</v>
      </c>
      <c r="G204" s="16">
        <v>0</v>
      </c>
      <c r="H204" s="16">
        <v>1</v>
      </c>
      <c r="I204" s="98">
        <f t="shared" si="43"/>
        <v>0</v>
      </c>
      <c r="J204" s="16">
        <v>0</v>
      </c>
      <c r="K204" s="16">
        <v>0</v>
      </c>
      <c r="L204" s="98">
        <f t="shared" si="44"/>
        <v>0</v>
      </c>
      <c r="M204" s="16">
        <v>3</v>
      </c>
      <c r="N204" s="16">
        <v>4</v>
      </c>
      <c r="O204" s="16">
        <v>3</v>
      </c>
      <c r="P204" s="16">
        <v>3</v>
      </c>
      <c r="Q204" s="16">
        <v>1</v>
      </c>
      <c r="R204" s="16">
        <v>6</v>
      </c>
    </row>
    <row r="205" spans="1:18" x14ac:dyDescent="0.25">
      <c r="A205" s="71">
        <v>42246</v>
      </c>
      <c r="B205" s="20"/>
      <c r="C205" s="15" t="s">
        <v>101</v>
      </c>
      <c r="D205" s="16">
        <v>7</v>
      </c>
      <c r="E205" s="16">
        <v>10</v>
      </c>
      <c r="F205" s="98">
        <f t="shared" si="42"/>
        <v>0.7</v>
      </c>
      <c r="G205" s="16">
        <v>2</v>
      </c>
      <c r="H205" s="16">
        <v>2</v>
      </c>
      <c r="I205" s="98">
        <f t="shared" si="43"/>
        <v>1</v>
      </c>
      <c r="J205" s="16">
        <v>6</v>
      </c>
      <c r="K205" s="16">
        <v>7</v>
      </c>
      <c r="L205" s="98">
        <f t="shared" si="44"/>
        <v>0.8571428571428571</v>
      </c>
      <c r="M205" s="16">
        <v>13</v>
      </c>
      <c r="N205" s="16">
        <v>1</v>
      </c>
      <c r="O205" s="16">
        <v>1</v>
      </c>
      <c r="P205" s="16">
        <v>3</v>
      </c>
      <c r="Q205" s="16">
        <v>3</v>
      </c>
      <c r="R205" s="16">
        <v>22</v>
      </c>
    </row>
    <row r="206" spans="1:18" x14ac:dyDescent="0.25">
      <c r="A206" s="71">
        <v>42246</v>
      </c>
      <c r="B206" s="20"/>
      <c r="C206" s="15" t="s">
        <v>96</v>
      </c>
      <c r="D206" s="16">
        <v>3</v>
      </c>
      <c r="E206" s="16">
        <v>11</v>
      </c>
      <c r="F206" s="98">
        <f t="shared" si="42"/>
        <v>0.27272727272727271</v>
      </c>
      <c r="G206" s="16">
        <v>0</v>
      </c>
      <c r="H206" s="16">
        <v>2</v>
      </c>
      <c r="I206" s="98">
        <f t="shared" si="43"/>
        <v>0</v>
      </c>
      <c r="J206" s="16">
        <v>6</v>
      </c>
      <c r="K206" s="16">
        <v>6</v>
      </c>
      <c r="L206" s="98">
        <f t="shared" si="44"/>
        <v>1</v>
      </c>
      <c r="M206" s="16">
        <v>2</v>
      </c>
      <c r="N206" s="16">
        <v>2</v>
      </c>
      <c r="O206" s="16">
        <v>1</v>
      </c>
      <c r="P206" s="16">
        <v>3</v>
      </c>
      <c r="Q206" s="16">
        <v>0</v>
      </c>
      <c r="R206" s="16">
        <v>12</v>
      </c>
    </row>
    <row r="207" spans="1:18" x14ac:dyDescent="0.25">
      <c r="A207" s="71">
        <v>42248</v>
      </c>
      <c r="B207" s="20"/>
      <c r="C207" s="15" t="s">
        <v>60</v>
      </c>
      <c r="D207" s="16">
        <v>1</v>
      </c>
      <c r="E207" s="16">
        <v>5</v>
      </c>
      <c r="F207" s="100">
        <f t="shared" ref="F207:F221" si="45">IF(E207=0,0,D207/E207)</f>
        <v>0.2</v>
      </c>
      <c r="G207" s="16">
        <v>0</v>
      </c>
      <c r="H207" s="16">
        <v>1</v>
      </c>
      <c r="I207" s="100">
        <f t="shared" ref="I207:I221" si="46">IF(H207=0,0,G207/H207)</f>
        <v>0</v>
      </c>
      <c r="J207" s="16">
        <v>0</v>
      </c>
      <c r="K207" s="16">
        <v>0</v>
      </c>
      <c r="L207" s="100">
        <f t="shared" ref="L207:L221" si="47">IF(K207=0,0,J207/K207)</f>
        <v>0</v>
      </c>
      <c r="M207" s="16">
        <v>2</v>
      </c>
      <c r="N207" s="16">
        <v>0</v>
      </c>
      <c r="O207" s="16">
        <v>0</v>
      </c>
      <c r="P207" s="16">
        <v>1</v>
      </c>
      <c r="Q207" s="16">
        <v>0</v>
      </c>
      <c r="R207" s="16">
        <v>2</v>
      </c>
    </row>
    <row r="208" spans="1:18" x14ac:dyDescent="0.25">
      <c r="A208" s="71">
        <v>42248</v>
      </c>
      <c r="B208" s="20"/>
      <c r="C208" s="15" t="s">
        <v>101</v>
      </c>
      <c r="D208" s="16">
        <v>4</v>
      </c>
      <c r="E208" s="16">
        <v>7</v>
      </c>
      <c r="F208" s="100">
        <f t="shared" si="45"/>
        <v>0.5714285714285714</v>
      </c>
      <c r="G208" s="16">
        <v>1</v>
      </c>
      <c r="H208" s="16">
        <v>2</v>
      </c>
      <c r="I208" s="100">
        <f t="shared" si="46"/>
        <v>0.5</v>
      </c>
      <c r="J208" s="16">
        <v>4</v>
      </c>
      <c r="K208" s="16">
        <v>4</v>
      </c>
      <c r="L208" s="100">
        <f t="shared" si="47"/>
        <v>1</v>
      </c>
      <c r="M208" s="16">
        <v>6</v>
      </c>
      <c r="N208" s="16">
        <v>3</v>
      </c>
      <c r="O208" s="16">
        <v>1</v>
      </c>
      <c r="P208" s="16">
        <v>2</v>
      </c>
      <c r="Q208" s="16">
        <v>1</v>
      </c>
      <c r="R208" s="16">
        <v>13</v>
      </c>
    </row>
    <row r="209" spans="1:18" x14ac:dyDescent="0.25">
      <c r="A209" s="71">
        <v>42248</v>
      </c>
      <c r="B209" s="20"/>
      <c r="C209" s="15" t="s">
        <v>97</v>
      </c>
      <c r="D209" s="16">
        <v>3</v>
      </c>
      <c r="E209" s="16">
        <v>4</v>
      </c>
      <c r="F209" s="100">
        <f t="shared" si="45"/>
        <v>0.75</v>
      </c>
      <c r="G209" s="16">
        <v>0</v>
      </c>
      <c r="H209" s="16">
        <v>0</v>
      </c>
      <c r="I209" s="100">
        <f t="shared" si="46"/>
        <v>0</v>
      </c>
      <c r="J209" s="16">
        <v>5</v>
      </c>
      <c r="K209" s="16">
        <v>5</v>
      </c>
      <c r="L209" s="100">
        <f t="shared" si="47"/>
        <v>1</v>
      </c>
      <c r="M209" s="16">
        <v>6</v>
      </c>
      <c r="N209" s="16">
        <v>1</v>
      </c>
      <c r="O209" s="16">
        <v>0</v>
      </c>
      <c r="P209" s="16">
        <v>1</v>
      </c>
      <c r="Q209" s="16">
        <v>0</v>
      </c>
      <c r="R209" s="16">
        <v>11</v>
      </c>
    </row>
    <row r="210" spans="1:18" x14ac:dyDescent="0.25">
      <c r="A210" s="71">
        <v>42250</v>
      </c>
      <c r="B210" s="20"/>
      <c r="C210" s="15" t="s">
        <v>80</v>
      </c>
      <c r="D210" s="16">
        <v>7</v>
      </c>
      <c r="E210" s="16">
        <v>10</v>
      </c>
      <c r="F210" s="100">
        <f t="shared" si="45"/>
        <v>0.7</v>
      </c>
      <c r="G210" s="16">
        <v>2</v>
      </c>
      <c r="H210" s="16">
        <v>2</v>
      </c>
      <c r="I210" s="100">
        <f t="shared" si="46"/>
        <v>1</v>
      </c>
      <c r="J210" s="16">
        <v>1</v>
      </c>
      <c r="K210" s="16">
        <v>1</v>
      </c>
      <c r="L210" s="100">
        <f t="shared" si="47"/>
        <v>1</v>
      </c>
      <c r="M210" s="16">
        <v>0</v>
      </c>
      <c r="N210" s="16">
        <v>2</v>
      </c>
      <c r="O210" s="16">
        <v>0</v>
      </c>
      <c r="P210" s="16">
        <v>0</v>
      </c>
      <c r="Q210" s="16">
        <v>0</v>
      </c>
      <c r="R210" s="16">
        <v>17</v>
      </c>
    </row>
    <row r="211" spans="1:18" x14ac:dyDescent="0.25">
      <c r="A211" s="71">
        <v>42250</v>
      </c>
      <c r="B211" s="20"/>
      <c r="C211" s="15" t="s">
        <v>79</v>
      </c>
      <c r="D211" s="16">
        <v>4</v>
      </c>
      <c r="E211" s="16">
        <v>17</v>
      </c>
      <c r="F211" s="100">
        <f t="shared" si="45"/>
        <v>0.23529411764705882</v>
      </c>
      <c r="G211" s="16">
        <v>2</v>
      </c>
      <c r="H211" s="16">
        <v>6</v>
      </c>
      <c r="I211" s="100">
        <f t="shared" si="46"/>
        <v>0.33333333333333331</v>
      </c>
      <c r="J211" s="16">
        <v>9</v>
      </c>
      <c r="K211" s="16">
        <v>9</v>
      </c>
      <c r="L211" s="100">
        <f t="shared" si="47"/>
        <v>1</v>
      </c>
      <c r="M211" s="16">
        <v>7</v>
      </c>
      <c r="N211" s="16">
        <v>3</v>
      </c>
      <c r="O211" s="16">
        <v>2</v>
      </c>
      <c r="P211" s="16">
        <v>1</v>
      </c>
      <c r="Q211" s="16">
        <v>2</v>
      </c>
      <c r="R211" s="16">
        <v>19</v>
      </c>
    </row>
    <row r="212" spans="1:18" x14ac:dyDescent="0.25">
      <c r="A212" s="71">
        <v>42251</v>
      </c>
      <c r="B212" s="20"/>
      <c r="C212" s="15" t="s">
        <v>101</v>
      </c>
      <c r="D212" s="16">
        <v>4</v>
      </c>
      <c r="E212" s="16">
        <v>14</v>
      </c>
      <c r="F212" s="100">
        <f t="shared" si="45"/>
        <v>0.2857142857142857</v>
      </c>
      <c r="G212" s="16">
        <v>0</v>
      </c>
      <c r="H212" s="16">
        <v>2</v>
      </c>
      <c r="I212" s="100">
        <f t="shared" si="46"/>
        <v>0</v>
      </c>
      <c r="J212" s="16">
        <v>2</v>
      </c>
      <c r="K212" s="16">
        <v>2</v>
      </c>
      <c r="L212" s="100">
        <f t="shared" si="47"/>
        <v>1</v>
      </c>
      <c r="M212" s="16">
        <v>9</v>
      </c>
      <c r="N212" s="16">
        <v>2</v>
      </c>
      <c r="O212" s="16">
        <v>2</v>
      </c>
      <c r="P212" s="16">
        <v>2</v>
      </c>
      <c r="Q212" s="16">
        <v>1</v>
      </c>
      <c r="R212" s="16">
        <v>10</v>
      </c>
    </row>
    <row r="213" spans="1:18" x14ac:dyDescent="0.25">
      <c r="A213" s="71">
        <v>42251</v>
      </c>
      <c r="B213" s="20"/>
      <c r="C213" s="15" t="s">
        <v>141</v>
      </c>
      <c r="D213" s="16">
        <v>6</v>
      </c>
      <c r="E213" s="16">
        <v>10</v>
      </c>
      <c r="F213" s="100">
        <f t="shared" si="45"/>
        <v>0.6</v>
      </c>
      <c r="G213" s="16">
        <v>0</v>
      </c>
      <c r="H213" s="16">
        <v>1</v>
      </c>
      <c r="I213" s="100">
        <f t="shared" si="46"/>
        <v>0</v>
      </c>
      <c r="J213" s="16">
        <v>0</v>
      </c>
      <c r="K213" s="16">
        <v>0</v>
      </c>
      <c r="L213" s="100">
        <f t="shared" si="47"/>
        <v>0</v>
      </c>
      <c r="M213" s="16">
        <v>4</v>
      </c>
      <c r="N213" s="16">
        <v>6</v>
      </c>
      <c r="O213" s="16">
        <v>1</v>
      </c>
      <c r="P213" s="16">
        <v>3</v>
      </c>
      <c r="Q213" s="16">
        <v>0</v>
      </c>
      <c r="R213" s="16">
        <v>12</v>
      </c>
    </row>
    <row r="214" spans="1:18" x14ac:dyDescent="0.25">
      <c r="A214" s="71">
        <v>42251</v>
      </c>
      <c r="B214" s="20"/>
      <c r="C214" s="15" t="s">
        <v>83</v>
      </c>
      <c r="D214" s="16">
        <v>2</v>
      </c>
      <c r="E214" s="16">
        <v>2</v>
      </c>
      <c r="F214" s="100">
        <f t="shared" si="45"/>
        <v>1</v>
      </c>
      <c r="G214" s="16">
        <v>1</v>
      </c>
      <c r="H214" s="16">
        <v>1</v>
      </c>
      <c r="I214" s="100">
        <f t="shared" si="46"/>
        <v>1</v>
      </c>
      <c r="J214" s="16">
        <v>0</v>
      </c>
      <c r="K214" s="16">
        <v>0</v>
      </c>
      <c r="L214" s="100">
        <f t="shared" si="47"/>
        <v>0</v>
      </c>
      <c r="M214" s="16">
        <v>0</v>
      </c>
      <c r="N214" s="16">
        <v>1</v>
      </c>
      <c r="O214" s="16">
        <v>0</v>
      </c>
      <c r="P214" s="16">
        <v>0</v>
      </c>
      <c r="Q214" s="16">
        <v>0</v>
      </c>
      <c r="R214" s="16">
        <v>5</v>
      </c>
    </row>
    <row r="215" spans="1:18" x14ac:dyDescent="0.25">
      <c r="A215" s="71">
        <v>42251</v>
      </c>
      <c r="B215" s="20"/>
      <c r="C215" s="15" t="s">
        <v>82</v>
      </c>
      <c r="D215" s="16">
        <v>1</v>
      </c>
      <c r="E215" s="16">
        <v>4</v>
      </c>
      <c r="F215" s="100">
        <f t="shared" si="45"/>
        <v>0.25</v>
      </c>
      <c r="G215" s="16">
        <v>0</v>
      </c>
      <c r="H215" s="16">
        <v>0</v>
      </c>
      <c r="I215" s="100">
        <f t="shared" si="46"/>
        <v>0</v>
      </c>
      <c r="J215" s="16">
        <v>0</v>
      </c>
      <c r="K215" s="16">
        <v>0</v>
      </c>
      <c r="L215" s="100">
        <f t="shared" si="47"/>
        <v>0</v>
      </c>
      <c r="M215" s="16">
        <v>3</v>
      </c>
      <c r="N215" s="16">
        <v>0</v>
      </c>
      <c r="O215" s="16">
        <v>0</v>
      </c>
      <c r="P215" s="16">
        <v>1</v>
      </c>
      <c r="Q215" s="16">
        <v>0</v>
      </c>
      <c r="R215" s="16">
        <v>2</v>
      </c>
    </row>
    <row r="216" spans="1:18" x14ac:dyDescent="0.25">
      <c r="A216" s="71">
        <v>42252</v>
      </c>
      <c r="B216" s="20"/>
      <c r="C216" s="15" t="s">
        <v>82</v>
      </c>
      <c r="D216" s="16">
        <v>0</v>
      </c>
      <c r="E216" s="16">
        <v>4</v>
      </c>
      <c r="F216" s="101">
        <f t="shared" si="45"/>
        <v>0</v>
      </c>
      <c r="G216" s="16">
        <v>0</v>
      </c>
      <c r="H216" s="16">
        <v>0</v>
      </c>
      <c r="I216" s="101">
        <f t="shared" si="46"/>
        <v>0</v>
      </c>
      <c r="J216" s="16">
        <v>2</v>
      </c>
      <c r="K216" s="16">
        <v>2</v>
      </c>
      <c r="L216" s="101">
        <f t="shared" si="47"/>
        <v>1</v>
      </c>
      <c r="M216" s="16">
        <v>2</v>
      </c>
      <c r="N216" s="16">
        <v>0</v>
      </c>
      <c r="O216" s="16">
        <v>0</v>
      </c>
      <c r="P216" s="16">
        <v>1</v>
      </c>
      <c r="Q216" s="16">
        <v>0</v>
      </c>
      <c r="R216" s="16">
        <v>2</v>
      </c>
    </row>
    <row r="217" spans="1:18" x14ac:dyDescent="0.25">
      <c r="A217" s="71">
        <v>42253</v>
      </c>
      <c r="B217" s="20"/>
      <c r="C217" s="15" t="s">
        <v>141</v>
      </c>
      <c r="D217" s="16">
        <v>2</v>
      </c>
      <c r="E217" s="16">
        <v>8</v>
      </c>
      <c r="F217" s="101">
        <f t="shared" si="45"/>
        <v>0.25</v>
      </c>
      <c r="G217" s="16">
        <v>0</v>
      </c>
      <c r="H217" s="16">
        <v>2</v>
      </c>
      <c r="I217" s="101">
        <f t="shared" si="46"/>
        <v>0</v>
      </c>
      <c r="J217" s="16">
        <v>2</v>
      </c>
      <c r="K217" s="16">
        <v>2</v>
      </c>
      <c r="L217" s="101">
        <f t="shared" si="47"/>
        <v>1</v>
      </c>
      <c r="M217" s="16">
        <v>1</v>
      </c>
      <c r="N217" s="16">
        <v>5</v>
      </c>
      <c r="O217" s="16">
        <v>0</v>
      </c>
      <c r="P217" s="16">
        <v>3</v>
      </c>
      <c r="Q217" s="16">
        <v>0</v>
      </c>
      <c r="R217" s="16">
        <v>6</v>
      </c>
    </row>
    <row r="218" spans="1:18" x14ac:dyDescent="0.25">
      <c r="A218" s="71">
        <v>42253</v>
      </c>
      <c r="B218" s="20"/>
      <c r="C218" s="15" t="s">
        <v>83</v>
      </c>
      <c r="D218" s="16">
        <v>1</v>
      </c>
      <c r="E218" s="16">
        <v>2</v>
      </c>
      <c r="F218" s="101">
        <f t="shared" si="45"/>
        <v>0.5</v>
      </c>
      <c r="G218" s="16">
        <v>1</v>
      </c>
      <c r="H218" s="16">
        <v>1</v>
      </c>
      <c r="I218" s="101">
        <f t="shared" si="46"/>
        <v>1</v>
      </c>
      <c r="J218" s="16">
        <v>0</v>
      </c>
      <c r="K218" s="16">
        <v>0</v>
      </c>
      <c r="L218" s="101">
        <f t="shared" si="47"/>
        <v>0</v>
      </c>
      <c r="M218" s="16">
        <v>0</v>
      </c>
      <c r="N218" s="16">
        <v>1</v>
      </c>
      <c r="O218" s="16">
        <v>0</v>
      </c>
      <c r="P218" s="16">
        <v>0</v>
      </c>
      <c r="Q218" s="16">
        <v>0</v>
      </c>
      <c r="R218" s="16">
        <v>3</v>
      </c>
    </row>
    <row r="219" spans="1:18" x14ac:dyDescent="0.25">
      <c r="A219" s="71">
        <v>42253</v>
      </c>
      <c r="B219" s="20"/>
      <c r="C219" s="15" t="s">
        <v>79</v>
      </c>
      <c r="D219" s="16">
        <v>4</v>
      </c>
      <c r="E219" s="16">
        <v>11</v>
      </c>
      <c r="F219" s="101">
        <f t="shared" si="45"/>
        <v>0.36363636363636365</v>
      </c>
      <c r="G219" s="16">
        <v>0</v>
      </c>
      <c r="H219" s="16">
        <v>3</v>
      </c>
      <c r="I219" s="101">
        <f t="shared" si="46"/>
        <v>0</v>
      </c>
      <c r="J219" s="16">
        <v>5</v>
      </c>
      <c r="K219" s="16">
        <v>5</v>
      </c>
      <c r="L219" s="101">
        <f t="shared" si="47"/>
        <v>1</v>
      </c>
      <c r="M219" s="16">
        <v>7</v>
      </c>
      <c r="N219" s="16">
        <v>0</v>
      </c>
      <c r="O219" s="16">
        <v>1</v>
      </c>
      <c r="P219" s="16">
        <v>0</v>
      </c>
      <c r="Q219" s="16">
        <v>0</v>
      </c>
      <c r="R219" s="16">
        <v>13</v>
      </c>
    </row>
    <row r="220" spans="1:18" x14ac:dyDescent="0.25">
      <c r="A220" s="71">
        <v>42253</v>
      </c>
      <c r="B220" s="20"/>
      <c r="C220" s="15" t="s">
        <v>80</v>
      </c>
      <c r="D220" s="16">
        <v>8</v>
      </c>
      <c r="E220" s="16">
        <v>13</v>
      </c>
      <c r="F220" s="101">
        <f t="shared" si="45"/>
        <v>0.61538461538461542</v>
      </c>
      <c r="G220" s="16">
        <v>2</v>
      </c>
      <c r="H220" s="16">
        <v>4</v>
      </c>
      <c r="I220" s="101">
        <f t="shared" si="46"/>
        <v>0.5</v>
      </c>
      <c r="J220" s="16">
        <v>3</v>
      </c>
      <c r="K220" s="16">
        <v>3</v>
      </c>
      <c r="L220" s="101">
        <f t="shared" si="47"/>
        <v>1</v>
      </c>
      <c r="M220" s="16">
        <v>2</v>
      </c>
      <c r="N220" s="16">
        <v>2</v>
      </c>
      <c r="O220" s="16">
        <v>0</v>
      </c>
      <c r="P220" s="16">
        <v>2</v>
      </c>
      <c r="Q220" s="16">
        <v>1</v>
      </c>
      <c r="R220" s="16">
        <v>21</v>
      </c>
    </row>
    <row r="221" spans="1:18" x14ac:dyDescent="0.25">
      <c r="A221" s="71">
        <v>42253</v>
      </c>
      <c r="B221" s="20"/>
      <c r="C221" s="15" t="s">
        <v>60</v>
      </c>
      <c r="D221" s="16">
        <v>0</v>
      </c>
      <c r="E221" s="16">
        <v>5</v>
      </c>
      <c r="F221" s="101">
        <f t="shared" si="45"/>
        <v>0</v>
      </c>
      <c r="G221" s="16">
        <v>0</v>
      </c>
      <c r="H221" s="16">
        <v>0</v>
      </c>
      <c r="I221" s="101">
        <f t="shared" si="46"/>
        <v>0</v>
      </c>
      <c r="J221" s="16">
        <v>2</v>
      </c>
      <c r="K221" s="16">
        <v>2</v>
      </c>
      <c r="L221" s="101">
        <f t="shared" si="47"/>
        <v>1</v>
      </c>
      <c r="M221" s="16">
        <v>3</v>
      </c>
      <c r="N221" s="16">
        <v>0</v>
      </c>
      <c r="O221" s="16">
        <v>0</v>
      </c>
      <c r="P221" s="16">
        <v>1</v>
      </c>
      <c r="Q221" s="16">
        <v>0</v>
      </c>
      <c r="R221" s="16">
        <v>2</v>
      </c>
    </row>
    <row r="222" spans="1:18" x14ac:dyDescent="0.25">
      <c r="A222" s="21">
        <v>42255</v>
      </c>
      <c r="B222" s="20"/>
      <c r="C222" s="15" t="s">
        <v>83</v>
      </c>
      <c r="D222" s="16">
        <v>1</v>
      </c>
      <c r="E222" s="16">
        <v>1</v>
      </c>
      <c r="F222" s="109">
        <f t="shared" ref="F222:F229" si="48">IF(E222=0,0,D222/E222)</f>
        <v>1</v>
      </c>
      <c r="G222" s="16">
        <v>1</v>
      </c>
      <c r="H222" s="16">
        <v>1</v>
      </c>
      <c r="I222" s="109">
        <f t="shared" ref="I222:I229" si="49">IF(H222=0,0,G222/H222)</f>
        <v>1</v>
      </c>
      <c r="J222" s="16">
        <v>2</v>
      </c>
      <c r="K222" s="16">
        <v>2</v>
      </c>
      <c r="L222" s="109">
        <f t="shared" ref="L222:L229" si="50">IF(K222=0,0,J222/K222)</f>
        <v>1</v>
      </c>
      <c r="M222" s="16">
        <v>1</v>
      </c>
      <c r="N222" s="16">
        <v>0</v>
      </c>
      <c r="O222" s="16">
        <v>0</v>
      </c>
      <c r="P222" s="16">
        <v>0</v>
      </c>
      <c r="Q222" s="16">
        <v>0</v>
      </c>
      <c r="R222" s="16">
        <v>5</v>
      </c>
    </row>
    <row r="223" spans="1:18" x14ac:dyDescent="0.25">
      <c r="A223" s="21">
        <v>42255</v>
      </c>
      <c r="B223" s="20"/>
      <c r="C223" s="15" t="s">
        <v>82</v>
      </c>
      <c r="D223" s="16">
        <v>0</v>
      </c>
      <c r="E223" s="16">
        <v>2</v>
      </c>
      <c r="F223" s="109">
        <f t="shared" si="48"/>
        <v>0</v>
      </c>
      <c r="G223" s="16">
        <v>0</v>
      </c>
      <c r="H223" s="16">
        <v>0</v>
      </c>
      <c r="I223" s="109">
        <f t="shared" si="49"/>
        <v>0</v>
      </c>
      <c r="J223" s="16">
        <v>0</v>
      </c>
      <c r="K223" s="16">
        <v>0</v>
      </c>
      <c r="L223" s="109">
        <f t="shared" si="50"/>
        <v>0</v>
      </c>
      <c r="M223" s="16">
        <v>3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</row>
    <row r="224" spans="1:18" x14ac:dyDescent="0.25">
      <c r="A224" s="21">
        <v>42255</v>
      </c>
      <c r="B224" s="20"/>
      <c r="C224" s="15" t="s">
        <v>80</v>
      </c>
      <c r="D224" s="16">
        <v>3</v>
      </c>
      <c r="E224" s="16">
        <v>12</v>
      </c>
      <c r="F224" s="109">
        <f t="shared" si="48"/>
        <v>0.25</v>
      </c>
      <c r="G224" s="16">
        <v>0</v>
      </c>
      <c r="H224" s="16">
        <v>4</v>
      </c>
      <c r="I224" s="109">
        <f t="shared" si="49"/>
        <v>0</v>
      </c>
      <c r="J224" s="16">
        <v>3</v>
      </c>
      <c r="K224" s="16">
        <v>4</v>
      </c>
      <c r="L224" s="109">
        <f t="shared" si="50"/>
        <v>0.75</v>
      </c>
      <c r="M224" s="16">
        <v>3</v>
      </c>
      <c r="N224" s="16">
        <v>0</v>
      </c>
      <c r="O224" s="16">
        <v>0</v>
      </c>
      <c r="P224" s="16">
        <v>1</v>
      </c>
      <c r="Q224" s="16">
        <v>1</v>
      </c>
      <c r="R224" s="16">
        <v>9</v>
      </c>
    </row>
    <row r="225" spans="1:18" x14ac:dyDescent="0.25">
      <c r="A225" s="21">
        <v>42255</v>
      </c>
      <c r="B225" s="20"/>
      <c r="C225" s="15" t="s">
        <v>101</v>
      </c>
      <c r="D225" s="16">
        <v>2</v>
      </c>
      <c r="E225" s="16">
        <v>13</v>
      </c>
      <c r="F225" s="109">
        <f t="shared" si="48"/>
        <v>0.15384615384615385</v>
      </c>
      <c r="G225" s="16">
        <v>0</v>
      </c>
      <c r="H225" s="16">
        <v>2</v>
      </c>
      <c r="I225" s="109">
        <f t="shared" si="49"/>
        <v>0</v>
      </c>
      <c r="J225" s="16">
        <v>6</v>
      </c>
      <c r="K225" s="16">
        <v>6</v>
      </c>
      <c r="L225" s="109">
        <f t="shared" si="50"/>
        <v>1</v>
      </c>
      <c r="M225" s="16">
        <v>7</v>
      </c>
      <c r="N225" s="16">
        <v>3</v>
      </c>
      <c r="O225" s="16">
        <v>2</v>
      </c>
      <c r="P225" s="16">
        <v>2</v>
      </c>
      <c r="Q225" s="16">
        <v>2</v>
      </c>
      <c r="R225" s="16">
        <v>10</v>
      </c>
    </row>
    <row r="226" spans="1:18" x14ac:dyDescent="0.25">
      <c r="A226" s="21">
        <v>42255</v>
      </c>
      <c r="B226" s="20"/>
      <c r="C226" s="15" t="s">
        <v>96</v>
      </c>
      <c r="D226" s="16">
        <v>3</v>
      </c>
      <c r="E226" s="16">
        <v>9</v>
      </c>
      <c r="F226" s="109">
        <f t="shared" si="48"/>
        <v>0.33333333333333331</v>
      </c>
      <c r="G226" s="16">
        <v>0</v>
      </c>
      <c r="H226" s="16">
        <v>1</v>
      </c>
      <c r="I226" s="109">
        <f t="shared" si="49"/>
        <v>0</v>
      </c>
      <c r="J226" s="16">
        <v>1</v>
      </c>
      <c r="K226" s="16">
        <v>1</v>
      </c>
      <c r="L226" s="109">
        <f t="shared" si="50"/>
        <v>1</v>
      </c>
      <c r="M226" s="16">
        <v>1</v>
      </c>
      <c r="N226" s="16">
        <v>8</v>
      </c>
      <c r="O226" s="16">
        <v>2</v>
      </c>
      <c r="P226" s="16">
        <v>0</v>
      </c>
      <c r="Q226" s="16">
        <v>0</v>
      </c>
      <c r="R226" s="16">
        <v>7</v>
      </c>
    </row>
    <row r="227" spans="1:18" x14ac:dyDescent="0.25">
      <c r="A227" s="21">
        <v>42255</v>
      </c>
      <c r="B227" s="20"/>
      <c r="C227" s="15" t="s">
        <v>141</v>
      </c>
      <c r="D227" s="16">
        <v>6</v>
      </c>
      <c r="E227" s="16">
        <v>9</v>
      </c>
      <c r="F227" s="109">
        <f t="shared" si="48"/>
        <v>0.66666666666666663</v>
      </c>
      <c r="G227" s="16">
        <v>1</v>
      </c>
      <c r="H227" s="16">
        <v>1</v>
      </c>
      <c r="I227" s="109">
        <f t="shared" si="49"/>
        <v>1</v>
      </c>
      <c r="J227" s="16">
        <v>2</v>
      </c>
      <c r="K227" s="16">
        <v>2</v>
      </c>
      <c r="L227" s="109">
        <f t="shared" si="50"/>
        <v>1</v>
      </c>
      <c r="M227" s="16">
        <v>2</v>
      </c>
      <c r="N227" s="16">
        <v>8</v>
      </c>
      <c r="O227" s="16">
        <v>1</v>
      </c>
      <c r="P227" s="16">
        <v>2</v>
      </c>
      <c r="Q227" s="16">
        <v>0</v>
      </c>
      <c r="R227" s="16">
        <v>15</v>
      </c>
    </row>
    <row r="228" spans="1:18" x14ac:dyDescent="0.25">
      <c r="A228" s="21">
        <v>42256</v>
      </c>
      <c r="B228" s="20"/>
      <c r="C228" s="15" t="s">
        <v>47</v>
      </c>
      <c r="D228" s="16">
        <v>5</v>
      </c>
      <c r="E228" s="16">
        <v>11</v>
      </c>
      <c r="F228" s="109">
        <f t="shared" si="48"/>
        <v>0.45454545454545453</v>
      </c>
      <c r="G228" s="16">
        <v>1</v>
      </c>
      <c r="H228" s="16">
        <v>5</v>
      </c>
      <c r="I228" s="109">
        <f t="shared" si="49"/>
        <v>0.2</v>
      </c>
      <c r="J228" s="16">
        <v>5</v>
      </c>
      <c r="K228" s="16">
        <v>5</v>
      </c>
      <c r="L228" s="109">
        <f t="shared" si="50"/>
        <v>1</v>
      </c>
      <c r="M228" s="16">
        <v>6</v>
      </c>
      <c r="N228" s="16">
        <v>3</v>
      </c>
      <c r="O228" s="16">
        <v>1</v>
      </c>
      <c r="P228" s="16">
        <v>2</v>
      </c>
      <c r="Q228" s="16">
        <v>0</v>
      </c>
      <c r="R228" s="16">
        <v>16</v>
      </c>
    </row>
    <row r="229" spans="1:18" x14ac:dyDescent="0.25">
      <c r="A229" s="21">
        <v>42256</v>
      </c>
      <c r="B229" s="20"/>
      <c r="C229" s="15" t="s">
        <v>60</v>
      </c>
      <c r="D229" s="16">
        <v>5</v>
      </c>
      <c r="E229" s="16">
        <v>9</v>
      </c>
      <c r="F229" s="109">
        <f t="shared" si="48"/>
        <v>0.55555555555555558</v>
      </c>
      <c r="G229" s="16">
        <v>1</v>
      </c>
      <c r="H229" s="16">
        <v>1</v>
      </c>
      <c r="I229" s="109">
        <f t="shared" si="49"/>
        <v>1</v>
      </c>
      <c r="J229" s="16">
        <v>4</v>
      </c>
      <c r="K229" s="16">
        <v>4</v>
      </c>
      <c r="L229" s="109">
        <f t="shared" si="50"/>
        <v>1</v>
      </c>
      <c r="M229" s="16">
        <v>12</v>
      </c>
      <c r="N229" s="16">
        <v>1</v>
      </c>
      <c r="O229" s="16">
        <v>1</v>
      </c>
      <c r="P229" s="16">
        <v>1</v>
      </c>
      <c r="Q229" s="16">
        <v>1</v>
      </c>
      <c r="R229" s="16">
        <v>15</v>
      </c>
    </row>
    <row r="230" spans="1:18" x14ac:dyDescent="0.25">
      <c r="A230" s="21">
        <v>42258</v>
      </c>
      <c r="B230" s="20"/>
      <c r="C230" s="15" t="s">
        <v>60</v>
      </c>
      <c r="D230" s="16">
        <v>3</v>
      </c>
      <c r="E230" s="16">
        <v>7</v>
      </c>
      <c r="F230" s="121">
        <f t="shared" ref="F230:F236" si="51">IF(E230=0,0,D230/E230)</f>
        <v>0.42857142857142855</v>
      </c>
      <c r="G230" s="16">
        <v>0</v>
      </c>
      <c r="H230" s="16">
        <v>1</v>
      </c>
      <c r="I230" s="121">
        <f t="shared" ref="I230:I236" si="52">IF(H230=0,0,G230/H230)</f>
        <v>0</v>
      </c>
      <c r="J230" s="16">
        <v>2</v>
      </c>
      <c r="K230" s="16">
        <v>2</v>
      </c>
      <c r="L230" s="121">
        <f t="shared" ref="L230:L236" si="53">IF(K230=0,0,J230/K230)</f>
        <v>1</v>
      </c>
      <c r="M230" s="16">
        <v>5</v>
      </c>
      <c r="N230" s="16">
        <v>2</v>
      </c>
      <c r="O230" s="16">
        <v>3</v>
      </c>
      <c r="P230" s="16">
        <v>0</v>
      </c>
      <c r="Q230" s="16">
        <v>0</v>
      </c>
      <c r="R230" s="16">
        <v>8</v>
      </c>
    </row>
    <row r="231" spans="1:18" x14ac:dyDescent="0.25">
      <c r="A231" s="21">
        <v>42258</v>
      </c>
      <c r="B231" s="20"/>
      <c r="C231" s="15" t="s">
        <v>79</v>
      </c>
      <c r="D231" s="16">
        <v>9</v>
      </c>
      <c r="E231" s="16">
        <v>13</v>
      </c>
      <c r="F231" s="121">
        <f t="shared" si="51"/>
        <v>0.69230769230769229</v>
      </c>
      <c r="G231" s="16">
        <v>2</v>
      </c>
      <c r="H231" s="16">
        <v>4</v>
      </c>
      <c r="I231" s="121">
        <f t="shared" si="52"/>
        <v>0.5</v>
      </c>
      <c r="J231" s="16">
        <v>1</v>
      </c>
      <c r="K231" s="16">
        <v>1</v>
      </c>
      <c r="L231" s="121">
        <f t="shared" si="53"/>
        <v>1</v>
      </c>
      <c r="M231" s="16">
        <v>3</v>
      </c>
      <c r="N231" s="16">
        <v>0</v>
      </c>
      <c r="O231" s="16">
        <v>0</v>
      </c>
      <c r="P231" s="16">
        <v>0</v>
      </c>
      <c r="Q231" s="16">
        <v>1</v>
      </c>
      <c r="R231" s="16">
        <v>21</v>
      </c>
    </row>
    <row r="232" spans="1:18" x14ac:dyDescent="0.25">
      <c r="A232" s="21">
        <v>42258</v>
      </c>
      <c r="B232" s="20"/>
      <c r="C232" s="15" t="s">
        <v>83</v>
      </c>
      <c r="D232" s="16">
        <v>2</v>
      </c>
      <c r="E232" s="16">
        <v>6</v>
      </c>
      <c r="F232" s="121">
        <f t="shared" si="51"/>
        <v>0.33333333333333331</v>
      </c>
      <c r="G232" s="16">
        <v>1</v>
      </c>
      <c r="H232" s="16">
        <v>4</v>
      </c>
      <c r="I232" s="121">
        <f t="shared" si="52"/>
        <v>0.25</v>
      </c>
      <c r="J232" s="16">
        <v>0</v>
      </c>
      <c r="K232" s="16">
        <v>0</v>
      </c>
      <c r="L232" s="121">
        <f t="shared" si="53"/>
        <v>0</v>
      </c>
      <c r="M232" s="16">
        <v>4</v>
      </c>
      <c r="N232" s="16">
        <v>1</v>
      </c>
      <c r="O232" s="16">
        <v>0</v>
      </c>
      <c r="P232" s="16">
        <v>1</v>
      </c>
      <c r="Q232" s="16">
        <v>0</v>
      </c>
      <c r="R232" s="16">
        <v>5</v>
      </c>
    </row>
    <row r="233" spans="1:18" x14ac:dyDescent="0.25">
      <c r="A233" s="21">
        <v>42258</v>
      </c>
      <c r="B233" s="20"/>
      <c r="C233" s="15" t="s">
        <v>141</v>
      </c>
      <c r="D233" s="16">
        <v>4</v>
      </c>
      <c r="E233" s="16">
        <v>10</v>
      </c>
      <c r="F233" s="121">
        <f t="shared" si="51"/>
        <v>0.4</v>
      </c>
      <c r="G233" s="16">
        <v>0</v>
      </c>
      <c r="H233" s="16">
        <v>3</v>
      </c>
      <c r="I233" s="121">
        <f t="shared" si="52"/>
        <v>0</v>
      </c>
      <c r="J233" s="16">
        <v>0</v>
      </c>
      <c r="K233" s="16">
        <v>2</v>
      </c>
      <c r="L233" s="121">
        <f t="shared" si="53"/>
        <v>0</v>
      </c>
      <c r="M233" s="16">
        <v>3</v>
      </c>
      <c r="N233" s="16">
        <v>4</v>
      </c>
      <c r="O233" s="16">
        <v>1</v>
      </c>
      <c r="P233" s="16">
        <v>2</v>
      </c>
      <c r="Q233" s="16">
        <v>1</v>
      </c>
      <c r="R233" s="16">
        <v>8</v>
      </c>
    </row>
    <row r="234" spans="1:18" x14ac:dyDescent="0.25">
      <c r="A234" s="73">
        <v>42260</v>
      </c>
      <c r="B234" s="20"/>
      <c r="C234" s="15" t="s">
        <v>79</v>
      </c>
      <c r="D234" s="16">
        <v>8</v>
      </c>
      <c r="E234" s="16">
        <v>16</v>
      </c>
      <c r="F234" s="121">
        <f t="shared" si="51"/>
        <v>0.5</v>
      </c>
      <c r="G234" s="16">
        <v>4</v>
      </c>
      <c r="H234" s="16">
        <v>7</v>
      </c>
      <c r="I234" s="121">
        <f t="shared" si="52"/>
        <v>0.5714285714285714</v>
      </c>
      <c r="J234" s="16">
        <v>8</v>
      </c>
      <c r="K234" s="16">
        <v>10</v>
      </c>
      <c r="L234" s="121">
        <f t="shared" si="53"/>
        <v>0.8</v>
      </c>
      <c r="M234" s="16">
        <v>5</v>
      </c>
      <c r="N234" s="16">
        <v>0</v>
      </c>
      <c r="O234" s="16">
        <v>1</v>
      </c>
      <c r="P234" s="16">
        <v>1</v>
      </c>
      <c r="Q234" s="16">
        <v>3</v>
      </c>
      <c r="R234" s="16">
        <v>28</v>
      </c>
    </row>
    <row r="235" spans="1:18" x14ac:dyDescent="0.25">
      <c r="A235" s="73">
        <v>42260</v>
      </c>
      <c r="B235" s="20"/>
      <c r="C235" s="15" t="s">
        <v>80</v>
      </c>
      <c r="D235" s="16">
        <v>4</v>
      </c>
      <c r="E235" s="16">
        <v>7</v>
      </c>
      <c r="F235" s="121">
        <f t="shared" si="51"/>
        <v>0.5714285714285714</v>
      </c>
      <c r="G235" s="16">
        <v>0</v>
      </c>
      <c r="H235" s="16">
        <v>1</v>
      </c>
      <c r="I235" s="121">
        <f t="shared" si="52"/>
        <v>0</v>
      </c>
      <c r="J235" s="16">
        <v>2</v>
      </c>
      <c r="K235" s="16">
        <v>2</v>
      </c>
      <c r="L235" s="121">
        <f t="shared" si="53"/>
        <v>1</v>
      </c>
      <c r="M235" s="16">
        <v>0</v>
      </c>
      <c r="N235" s="16">
        <v>1</v>
      </c>
      <c r="O235" s="16">
        <v>1</v>
      </c>
      <c r="P235" s="16">
        <v>0</v>
      </c>
      <c r="Q235" s="16">
        <v>0</v>
      </c>
      <c r="R235" s="16">
        <v>10</v>
      </c>
    </row>
    <row r="236" spans="1:18" x14ac:dyDescent="0.25">
      <c r="A236" s="73">
        <v>42260</v>
      </c>
      <c r="B236" s="20"/>
      <c r="C236" s="15" t="s">
        <v>47</v>
      </c>
      <c r="D236" s="16">
        <v>2</v>
      </c>
      <c r="E236" s="16">
        <v>6</v>
      </c>
      <c r="F236" s="121">
        <f t="shared" si="51"/>
        <v>0.33333333333333331</v>
      </c>
      <c r="G236" s="16">
        <v>0</v>
      </c>
      <c r="H236" s="16">
        <v>0</v>
      </c>
      <c r="I236" s="121">
        <f t="shared" si="52"/>
        <v>0</v>
      </c>
      <c r="J236" s="16">
        <v>0</v>
      </c>
      <c r="K236" s="16">
        <v>0</v>
      </c>
      <c r="L236" s="121">
        <f t="shared" si="53"/>
        <v>0</v>
      </c>
      <c r="M236" s="16">
        <v>3</v>
      </c>
      <c r="N236" s="16">
        <v>4</v>
      </c>
      <c r="O236" s="16">
        <v>1</v>
      </c>
      <c r="P236" s="16">
        <v>0</v>
      </c>
      <c r="Q236" s="16">
        <v>0</v>
      </c>
      <c r="R236" s="16">
        <v>4</v>
      </c>
    </row>
    <row r="237" spans="1:18" x14ac:dyDescent="0.25">
      <c r="A237" s="39"/>
      <c r="B237" s="39"/>
      <c r="C237" s="6"/>
      <c r="D237" s="6"/>
      <c r="E237" s="6"/>
      <c r="F237" s="7"/>
      <c r="G237" s="6"/>
      <c r="H237" s="6"/>
      <c r="I237" s="7"/>
      <c r="J237" s="6"/>
      <c r="K237" s="6"/>
      <c r="L237" s="7"/>
      <c r="M237" s="6"/>
      <c r="N237" s="6"/>
      <c r="O237" s="6"/>
      <c r="P237" s="6"/>
      <c r="Q237" s="6"/>
      <c r="R237" s="9"/>
    </row>
    <row r="238" spans="1:18" x14ac:dyDescent="0.25">
      <c r="A238" s="6" t="s">
        <v>17</v>
      </c>
      <c r="C238" s="6"/>
      <c r="D238" s="6">
        <f>SUBTOTAL(109,newkidStats[FGM])</f>
        <v>868</v>
      </c>
      <c r="E238" s="6">
        <f>SUBTOTAL(109,newkidStats[FGA])</f>
        <v>2067</v>
      </c>
      <c r="F238" s="7">
        <f>newkidStats[[#Totals],[FGM]]/newkidStats[[#Totals],[FGA]]</f>
        <v>0.41993226898887276</v>
      </c>
      <c r="G238" s="6">
        <f>SUBTOTAL(109,newkidStats[3-PT FGM])</f>
        <v>148</v>
      </c>
      <c r="H238" s="6">
        <f>SUBTOTAL(109,newkidStats[3-PT FGA])</f>
        <v>455</v>
      </c>
      <c r="I238" s="7">
        <f>newkidStats[[#Totals],[3-PT FGM]]/newkidStats[[#Totals],[3-PT FGA]]</f>
        <v>0.32527472527472528</v>
      </c>
      <c r="J238" s="6">
        <f>SUBTOTAL(109,newkidStats[FTM])</f>
        <v>564</v>
      </c>
      <c r="K238" s="6">
        <f>SUBTOTAL(109,newkidStats[FTA])</f>
        <v>652</v>
      </c>
      <c r="L238" s="7">
        <f>newkidStats[[#Totals],[FTM]]/newkidStats[[#Totals],[FTA]]</f>
        <v>0.86503067484662577</v>
      </c>
      <c r="M238" s="6">
        <f>SUBTOTAL(109,newkidStats[REB])</f>
        <v>1036</v>
      </c>
      <c r="N238" s="6">
        <f>SUBTOTAL(109,newkidStats[AST])</f>
        <v>440</v>
      </c>
      <c r="O238" s="6">
        <f>SUBTOTAL(109,newkidStats[STL])</f>
        <v>193</v>
      </c>
      <c r="P238" s="6">
        <f>SUBTOTAL(109,newkidStats[TO])</f>
        <v>338</v>
      </c>
      <c r="Q238" s="6">
        <f>SUBTOTAL(109,newkidStats[BLK])</f>
        <v>127</v>
      </c>
      <c r="R238" s="6">
        <f>SUBTOTAL(109,newkidStats[PTS])</f>
        <v>2448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2"/>
  <sheetViews>
    <sheetView showGridLines="0" topLeftCell="A210" workbookViewId="0">
      <selection sqref="A1:R232"/>
    </sheetView>
  </sheetViews>
  <sheetFormatPr defaultRowHeight="15" x14ac:dyDescent="0.25"/>
  <cols>
    <col min="1" max="1" width="7.42578125" bestFit="1" customWidth="1"/>
    <col min="2" max="2" width="1.42578125" style="6" bestFit="1" customWidth="1"/>
    <col min="3" max="3" width="20" bestFit="1" customWidth="1"/>
    <col min="4" max="4" width="4.85546875" customWidth="1"/>
    <col min="5" max="5" width="4.7109375" bestFit="1" customWidth="1"/>
    <col min="6" max="6" width="5.5703125" style="1" bestFit="1" customWidth="1"/>
    <col min="7" max="7" width="6" customWidth="1"/>
    <col min="8" max="8" width="5.5703125" customWidth="1"/>
    <col min="9" max="9" width="6.42578125" style="1" bestFit="1" customWidth="1"/>
    <col min="10" max="10" width="4.85546875" bestFit="1" customWidth="1"/>
    <col min="11" max="11" width="4.28515625" bestFit="1" customWidth="1"/>
    <col min="12" max="12" width="5.5703125" style="1" bestFit="1" customWidth="1"/>
    <col min="13" max="14" width="4.28515625" bestFit="1" customWidth="1"/>
    <col min="15" max="15" width="3.85546875" bestFit="1" customWidth="1"/>
    <col min="16" max="16" width="4" bestFit="1" customWidth="1"/>
    <col min="17" max="17" width="4.140625" bestFit="1" customWidth="1"/>
    <col min="18" max="18" width="5" customWidth="1"/>
    <col min="20" max="20" width="6" customWidth="1"/>
  </cols>
  <sheetData>
    <row r="1" spans="1:18" s="2" customFormat="1" x14ac:dyDescent="0.25">
      <c r="A1" s="3" t="s">
        <v>0</v>
      </c>
      <c r="B1" s="11" t="s">
        <v>19</v>
      </c>
      <c r="C1" s="4" t="s">
        <v>1</v>
      </c>
      <c r="D1" s="3" t="s">
        <v>2</v>
      </c>
      <c r="E1" s="3" t="s">
        <v>3</v>
      </c>
      <c r="F1" s="5" t="s">
        <v>4</v>
      </c>
      <c r="G1" s="3" t="s">
        <v>5</v>
      </c>
      <c r="H1" s="3" t="s">
        <v>6</v>
      </c>
      <c r="I1" s="5" t="s">
        <v>7</v>
      </c>
      <c r="J1" s="3" t="s">
        <v>8</v>
      </c>
      <c r="K1" s="3" t="s">
        <v>9</v>
      </c>
      <c r="L1" s="5" t="s">
        <v>10</v>
      </c>
      <c r="M1" s="3" t="s">
        <v>11</v>
      </c>
      <c r="N1" s="3" t="s">
        <v>12</v>
      </c>
      <c r="O1" s="3" t="s">
        <v>15</v>
      </c>
      <c r="P1" s="3" t="s">
        <v>16</v>
      </c>
      <c r="Q1" s="3" t="s">
        <v>14</v>
      </c>
      <c r="R1" s="13" t="s">
        <v>13</v>
      </c>
    </row>
    <row r="2" spans="1:18" s="10" customFormat="1" x14ac:dyDescent="0.25">
      <c r="A2" s="14">
        <v>42160</v>
      </c>
      <c r="B2" s="15"/>
      <c r="C2" s="10" t="s">
        <v>74</v>
      </c>
      <c r="D2" s="16">
        <v>8</v>
      </c>
      <c r="E2" s="16">
        <v>19</v>
      </c>
      <c r="F2" s="17">
        <f t="shared" ref="F2:F11" si="0">IF(E2=0,0,D2/E2)</f>
        <v>0.42105263157894735</v>
      </c>
      <c r="G2" s="16">
        <v>1</v>
      </c>
      <c r="H2" s="16">
        <v>2</v>
      </c>
      <c r="I2" s="17">
        <f t="shared" ref="I2:I11" si="1">IF(H2=0,0,G2/H2)</f>
        <v>0.5</v>
      </c>
      <c r="J2" s="16">
        <v>10</v>
      </c>
      <c r="K2" s="16">
        <v>10</v>
      </c>
      <c r="L2" s="17">
        <f t="shared" ref="L2:L11" si="2">IF(K2=0,0,J2/K2)</f>
        <v>1</v>
      </c>
      <c r="M2" s="16">
        <v>8</v>
      </c>
      <c r="N2" s="16">
        <v>3</v>
      </c>
      <c r="O2" s="16">
        <v>3</v>
      </c>
      <c r="P2" s="16">
        <v>4</v>
      </c>
      <c r="Q2" s="16">
        <v>1</v>
      </c>
      <c r="R2" s="16">
        <v>27</v>
      </c>
    </row>
    <row r="3" spans="1:18" s="10" customFormat="1" x14ac:dyDescent="0.25">
      <c r="A3" s="14">
        <v>42160</v>
      </c>
      <c r="B3" s="15"/>
      <c r="C3" s="10" t="s">
        <v>75</v>
      </c>
      <c r="D3" s="16">
        <v>7</v>
      </c>
      <c r="E3" s="16">
        <v>12</v>
      </c>
      <c r="F3" s="17">
        <f t="shared" si="0"/>
        <v>0.58333333333333337</v>
      </c>
      <c r="G3" s="16">
        <v>0</v>
      </c>
      <c r="H3" s="16">
        <v>0</v>
      </c>
      <c r="I3" s="17">
        <f t="shared" si="1"/>
        <v>0</v>
      </c>
      <c r="J3" s="16">
        <v>0</v>
      </c>
      <c r="K3" s="16">
        <v>0</v>
      </c>
      <c r="L3" s="17">
        <f t="shared" si="2"/>
        <v>0</v>
      </c>
      <c r="M3" s="16">
        <v>6</v>
      </c>
      <c r="N3" s="16">
        <v>2</v>
      </c>
      <c r="O3" s="16">
        <v>2</v>
      </c>
      <c r="P3" s="16">
        <v>3</v>
      </c>
      <c r="Q3" s="16">
        <v>1</v>
      </c>
      <c r="R3" s="16">
        <v>14</v>
      </c>
    </row>
    <row r="4" spans="1:18" s="10" customFormat="1" x14ac:dyDescent="0.25">
      <c r="A4" s="14">
        <v>42160</v>
      </c>
      <c r="B4" s="15"/>
      <c r="C4" s="10" t="s">
        <v>76</v>
      </c>
      <c r="D4" s="16">
        <v>7</v>
      </c>
      <c r="E4" s="16">
        <v>19</v>
      </c>
      <c r="F4" s="17">
        <f t="shared" si="0"/>
        <v>0.36842105263157893</v>
      </c>
      <c r="G4" s="16">
        <v>1</v>
      </c>
      <c r="H4" s="16">
        <v>4</v>
      </c>
      <c r="I4" s="17">
        <f t="shared" si="1"/>
        <v>0.25</v>
      </c>
      <c r="J4" s="16">
        <v>6</v>
      </c>
      <c r="K4" s="16">
        <v>8</v>
      </c>
      <c r="L4" s="17">
        <f t="shared" si="2"/>
        <v>0.75</v>
      </c>
      <c r="M4" s="16">
        <v>6</v>
      </c>
      <c r="N4" s="16">
        <v>3</v>
      </c>
      <c r="O4" s="16">
        <v>2</v>
      </c>
      <c r="P4" s="16">
        <v>2</v>
      </c>
      <c r="Q4" s="16">
        <v>0</v>
      </c>
      <c r="R4" s="16">
        <v>21</v>
      </c>
    </row>
    <row r="5" spans="1:18" s="10" customFormat="1" x14ac:dyDescent="0.25">
      <c r="A5" s="14">
        <v>42160</v>
      </c>
      <c r="B5" s="14"/>
      <c r="C5" s="6" t="s">
        <v>77</v>
      </c>
      <c r="D5" s="23">
        <v>3</v>
      </c>
      <c r="E5" s="23">
        <v>6</v>
      </c>
      <c r="F5" s="24">
        <f t="shared" si="0"/>
        <v>0.5</v>
      </c>
      <c r="G5" s="23">
        <v>3</v>
      </c>
      <c r="H5" s="23">
        <v>4</v>
      </c>
      <c r="I5" s="24">
        <f t="shared" si="1"/>
        <v>0.75</v>
      </c>
      <c r="J5" s="23">
        <v>0</v>
      </c>
      <c r="K5" s="23">
        <v>0</v>
      </c>
      <c r="L5" s="24">
        <f t="shared" si="2"/>
        <v>0</v>
      </c>
      <c r="M5" s="23">
        <v>2</v>
      </c>
      <c r="N5" s="23">
        <v>3</v>
      </c>
      <c r="O5" s="23">
        <v>1</v>
      </c>
      <c r="P5" s="23">
        <v>2</v>
      </c>
      <c r="Q5" s="23">
        <v>1</v>
      </c>
      <c r="R5" s="25">
        <v>9</v>
      </c>
    </row>
    <row r="6" spans="1:18" s="10" customFormat="1" x14ac:dyDescent="0.25">
      <c r="A6" s="14">
        <v>42160</v>
      </c>
      <c r="B6" s="14"/>
      <c r="C6" s="6" t="s">
        <v>78</v>
      </c>
      <c r="D6" s="23">
        <v>2</v>
      </c>
      <c r="E6" s="23">
        <v>7</v>
      </c>
      <c r="F6" s="24">
        <f t="shared" si="0"/>
        <v>0.2857142857142857</v>
      </c>
      <c r="G6" s="23">
        <v>0</v>
      </c>
      <c r="H6" s="23">
        <v>0</v>
      </c>
      <c r="I6" s="24">
        <f t="shared" si="1"/>
        <v>0</v>
      </c>
      <c r="J6" s="23">
        <v>5</v>
      </c>
      <c r="K6" s="23">
        <v>6</v>
      </c>
      <c r="L6" s="24">
        <f t="shared" si="2"/>
        <v>0.83333333333333337</v>
      </c>
      <c r="M6" s="23">
        <v>4</v>
      </c>
      <c r="N6" s="23">
        <v>2</v>
      </c>
      <c r="O6" s="23">
        <v>4</v>
      </c>
      <c r="P6" s="23">
        <v>2</v>
      </c>
      <c r="Q6" s="23">
        <v>2</v>
      </c>
      <c r="R6" s="25">
        <v>9</v>
      </c>
    </row>
    <row r="7" spans="1:18" x14ac:dyDescent="0.25">
      <c r="A7" s="14">
        <v>42161</v>
      </c>
      <c r="B7" s="14"/>
      <c r="C7" s="22" t="s">
        <v>78</v>
      </c>
      <c r="D7" s="23">
        <v>1</v>
      </c>
      <c r="E7" s="23">
        <v>1</v>
      </c>
      <c r="F7" s="24">
        <f t="shared" si="0"/>
        <v>1</v>
      </c>
      <c r="G7" s="23">
        <v>0</v>
      </c>
      <c r="H7" s="23">
        <v>0</v>
      </c>
      <c r="I7" s="24">
        <f t="shared" si="1"/>
        <v>0</v>
      </c>
      <c r="J7" s="23">
        <v>2</v>
      </c>
      <c r="K7" s="23">
        <v>2</v>
      </c>
      <c r="L7" s="24">
        <f t="shared" si="2"/>
        <v>1</v>
      </c>
      <c r="M7" s="23">
        <v>0</v>
      </c>
      <c r="N7" s="23">
        <v>1</v>
      </c>
      <c r="O7" s="23">
        <v>1</v>
      </c>
      <c r="P7" s="23">
        <v>1</v>
      </c>
      <c r="Q7" s="23">
        <v>0</v>
      </c>
      <c r="R7" s="25">
        <v>4</v>
      </c>
    </row>
    <row r="8" spans="1:18" x14ac:dyDescent="0.25">
      <c r="A8" s="14">
        <v>42161</v>
      </c>
      <c r="B8" s="14"/>
      <c r="C8" s="22" t="s">
        <v>94</v>
      </c>
      <c r="D8" s="23">
        <v>0</v>
      </c>
      <c r="E8" s="23">
        <v>0</v>
      </c>
      <c r="F8" s="24">
        <f t="shared" si="0"/>
        <v>0</v>
      </c>
      <c r="G8" s="23">
        <v>0</v>
      </c>
      <c r="H8" s="23">
        <v>0</v>
      </c>
      <c r="I8" s="24">
        <f t="shared" si="1"/>
        <v>0</v>
      </c>
      <c r="J8" s="23">
        <v>0</v>
      </c>
      <c r="K8" s="23">
        <v>0</v>
      </c>
      <c r="L8" s="24">
        <f t="shared" si="2"/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5">
        <v>0</v>
      </c>
    </row>
    <row r="9" spans="1:18" x14ac:dyDescent="0.25">
      <c r="A9" s="14">
        <v>42161</v>
      </c>
      <c r="B9" s="14"/>
      <c r="C9" s="22" t="s">
        <v>95</v>
      </c>
      <c r="D9" s="23">
        <v>1</v>
      </c>
      <c r="E9" s="23">
        <v>5</v>
      </c>
      <c r="F9" s="24">
        <f t="shared" si="0"/>
        <v>0.2</v>
      </c>
      <c r="G9" s="23">
        <v>0</v>
      </c>
      <c r="H9" s="23">
        <v>1</v>
      </c>
      <c r="I9" s="24">
        <f t="shared" si="1"/>
        <v>0</v>
      </c>
      <c r="J9" s="23">
        <v>0</v>
      </c>
      <c r="K9" s="23">
        <v>0</v>
      </c>
      <c r="L9" s="24">
        <f t="shared" si="2"/>
        <v>0</v>
      </c>
      <c r="M9" s="23">
        <v>3</v>
      </c>
      <c r="N9" s="23">
        <v>3</v>
      </c>
      <c r="O9" s="23">
        <v>0</v>
      </c>
      <c r="P9" s="23">
        <v>2</v>
      </c>
      <c r="Q9" s="23">
        <v>0</v>
      </c>
      <c r="R9" s="25">
        <v>2</v>
      </c>
    </row>
    <row r="10" spans="1:18" x14ac:dyDescent="0.25">
      <c r="A10" s="14">
        <v>42161</v>
      </c>
      <c r="B10" s="14"/>
      <c r="C10" s="22" t="s">
        <v>77</v>
      </c>
      <c r="D10" s="23">
        <v>4</v>
      </c>
      <c r="E10" s="23">
        <v>11</v>
      </c>
      <c r="F10" s="24">
        <f t="shared" si="0"/>
        <v>0.36363636363636365</v>
      </c>
      <c r="G10" s="23">
        <v>0</v>
      </c>
      <c r="H10" s="23">
        <v>2</v>
      </c>
      <c r="I10" s="24">
        <f t="shared" si="1"/>
        <v>0</v>
      </c>
      <c r="J10" s="23">
        <v>3</v>
      </c>
      <c r="K10" s="23">
        <v>4</v>
      </c>
      <c r="L10" s="24">
        <f t="shared" si="2"/>
        <v>0.75</v>
      </c>
      <c r="M10" s="23">
        <v>5</v>
      </c>
      <c r="N10" s="23">
        <v>3</v>
      </c>
      <c r="O10" s="23">
        <v>3</v>
      </c>
      <c r="P10" s="23">
        <v>1</v>
      </c>
      <c r="Q10" s="23">
        <v>1</v>
      </c>
      <c r="R10" s="25">
        <v>11</v>
      </c>
    </row>
    <row r="11" spans="1:18" x14ac:dyDescent="0.25">
      <c r="A11" s="21">
        <v>42162</v>
      </c>
      <c r="B11" s="21"/>
      <c r="C11" s="22" t="s">
        <v>75</v>
      </c>
      <c r="D11" s="23">
        <v>5</v>
      </c>
      <c r="E11" s="23">
        <v>9</v>
      </c>
      <c r="F11" s="24">
        <f t="shared" si="0"/>
        <v>0.55555555555555558</v>
      </c>
      <c r="G11" s="23">
        <v>0</v>
      </c>
      <c r="H11" s="23">
        <v>0</v>
      </c>
      <c r="I11" s="24">
        <f t="shared" si="1"/>
        <v>0</v>
      </c>
      <c r="J11" s="23">
        <v>1</v>
      </c>
      <c r="K11" s="23">
        <v>2</v>
      </c>
      <c r="L11" s="24">
        <f t="shared" si="2"/>
        <v>0.5</v>
      </c>
      <c r="M11" s="23">
        <v>2</v>
      </c>
      <c r="N11" s="23">
        <v>5</v>
      </c>
      <c r="O11" s="23">
        <v>4</v>
      </c>
      <c r="P11" s="23">
        <v>0</v>
      </c>
      <c r="Q11" s="23">
        <v>0</v>
      </c>
      <c r="R11" s="25">
        <v>11</v>
      </c>
    </row>
    <row r="12" spans="1:18" x14ac:dyDescent="0.25">
      <c r="A12" s="21">
        <v>42162</v>
      </c>
      <c r="B12" s="21"/>
      <c r="C12" s="22" t="s">
        <v>74</v>
      </c>
      <c r="D12" s="23">
        <v>4</v>
      </c>
      <c r="E12" s="23">
        <v>13</v>
      </c>
      <c r="F12" s="24">
        <f t="shared" ref="F12:F24" si="3">IF(E12=0,0,D12/E12)</f>
        <v>0.30769230769230771</v>
      </c>
      <c r="G12" s="23">
        <v>0</v>
      </c>
      <c r="H12" s="23">
        <v>2</v>
      </c>
      <c r="I12" s="24">
        <f t="shared" ref="I12:I24" si="4">IF(H12=0,0,G12/H12)</f>
        <v>0</v>
      </c>
      <c r="J12" s="23">
        <v>2</v>
      </c>
      <c r="K12" s="23">
        <v>2</v>
      </c>
      <c r="L12" s="24">
        <f t="shared" ref="L12:L24" si="5">IF(K12=0,0,J12/K12)</f>
        <v>1</v>
      </c>
      <c r="M12" s="23">
        <v>7</v>
      </c>
      <c r="N12" s="23">
        <v>2</v>
      </c>
      <c r="O12" s="23">
        <v>0</v>
      </c>
      <c r="P12" s="23">
        <v>6</v>
      </c>
      <c r="Q12" s="23">
        <v>1</v>
      </c>
      <c r="R12" s="25">
        <v>10</v>
      </c>
    </row>
    <row r="13" spans="1:18" x14ac:dyDescent="0.25">
      <c r="A13" s="14">
        <v>42164</v>
      </c>
      <c r="B13" s="14"/>
      <c r="C13" s="22" t="s">
        <v>77</v>
      </c>
      <c r="D13" s="23">
        <v>0</v>
      </c>
      <c r="E13" s="23">
        <v>6</v>
      </c>
      <c r="F13" s="38">
        <f t="shared" si="3"/>
        <v>0</v>
      </c>
      <c r="G13" s="23">
        <v>0</v>
      </c>
      <c r="H13" s="23">
        <v>1</v>
      </c>
      <c r="I13" s="38">
        <f t="shared" si="4"/>
        <v>0</v>
      </c>
      <c r="J13" s="23">
        <v>0</v>
      </c>
      <c r="K13" s="23">
        <v>0</v>
      </c>
      <c r="L13" s="38">
        <f t="shared" si="5"/>
        <v>0</v>
      </c>
      <c r="M13" s="23">
        <v>3</v>
      </c>
      <c r="N13" s="23">
        <v>5</v>
      </c>
      <c r="O13" s="23">
        <v>1</v>
      </c>
      <c r="P13" s="23">
        <v>1</v>
      </c>
      <c r="Q13" s="23">
        <v>0</v>
      </c>
      <c r="R13" s="25">
        <v>0</v>
      </c>
    </row>
    <row r="14" spans="1:18" x14ac:dyDescent="0.25">
      <c r="A14" s="14">
        <v>42164</v>
      </c>
      <c r="B14" s="14"/>
      <c r="C14" s="22" t="s">
        <v>95</v>
      </c>
      <c r="D14" s="23">
        <v>3</v>
      </c>
      <c r="E14" s="23">
        <v>7</v>
      </c>
      <c r="F14" s="38">
        <f t="shared" si="3"/>
        <v>0.42857142857142855</v>
      </c>
      <c r="G14" s="23">
        <v>0</v>
      </c>
      <c r="H14" s="23">
        <v>0</v>
      </c>
      <c r="I14" s="38">
        <f t="shared" si="4"/>
        <v>0</v>
      </c>
      <c r="J14" s="23">
        <v>2</v>
      </c>
      <c r="K14" s="23">
        <v>2</v>
      </c>
      <c r="L14" s="38">
        <f t="shared" si="5"/>
        <v>1</v>
      </c>
      <c r="M14" s="23">
        <v>1</v>
      </c>
      <c r="N14" s="23">
        <v>5</v>
      </c>
      <c r="O14" s="23">
        <v>0</v>
      </c>
      <c r="P14" s="23">
        <v>4</v>
      </c>
      <c r="Q14" s="23">
        <v>0</v>
      </c>
      <c r="R14" s="25">
        <v>8</v>
      </c>
    </row>
    <row r="15" spans="1:18" x14ac:dyDescent="0.25">
      <c r="A15" s="14">
        <v>42164</v>
      </c>
      <c r="B15" s="14"/>
      <c r="C15" s="22" t="s">
        <v>94</v>
      </c>
      <c r="D15" s="23">
        <v>3</v>
      </c>
      <c r="E15" s="23">
        <v>7</v>
      </c>
      <c r="F15" s="38">
        <f t="shared" si="3"/>
        <v>0.42857142857142855</v>
      </c>
      <c r="G15" s="23">
        <v>1</v>
      </c>
      <c r="H15" s="23">
        <v>4</v>
      </c>
      <c r="I15" s="38">
        <f t="shared" si="4"/>
        <v>0.25</v>
      </c>
      <c r="J15" s="23">
        <v>0</v>
      </c>
      <c r="K15" s="23">
        <v>0</v>
      </c>
      <c r="L15" s="38">
        <f t="shared" si="5"/>
        <v>0</v>
      </c>
      <c r="M15" s="23">
        <v>1</v>
      </c>
      <c r="N15" s="23">
        <v>0</v>
      </c>
      <c r="O15" s="23">
        <v>0</v>
      </c>
      <c r="P15" s="23">
        <v>1</v>
      </c>
      <c r="Q15" s="23">
        <v>0</v>
      </c>
      <c r="R15" s="25">
        <v>7</v>
      </c>
    </row>
    <row r="16" spans="1:18" x14ac:dyDescent="0.25">
      <c r="A16" s="21">
        <v>42166</v>
      </c>
      <c r="B16" s="21"/>
      <c r="C16" s="111" t="s">
        <v>76</v>
      </c>
      <c r="D16" s="112">
        <v>6</v>
      </c>
      <c r="E16" s="112">
        <v>18</v>
      </c>
      <c r="F16" s="114">
        <f t="shared" si="3"/>
        <v>0.33333333333333331</v>
      </c>
      <c r="G16" s="112">
        <v>1</v>
      </c>
      <c r="H16" s="112">
        <v>8</v>
      </c>
      <c r="I16" s="114">
        <f t="shared" si="4"/>
        <v>0.125</v>
      </c>
      <c r="J16" s="112">
        <v>9</v>
      </c>
      <c r="K16" s="112">
        <v>11</v>
      </c>
      <c r="L16" s="114">
        <f t="shared" si="5"/>
        <v>0.81818181818181823</v>
      </c>
      <c r="M16" s="112">
        <v>6</v>
      </c>
      <c r="N16" s="112">
        <v>3</v>
      </c>
      <c r="O16" s="112">
        <v>1</v>
      </c>
      <c r="P16" s="112">
        <v>0</v>
      </c>
      <c r="Q16" s="112">
        <v>0</v>
      </c>
      <c r="R16" s="115">
        <v>22</v>
      </c>
    </row>
    <row r="17" spans="1:20" x14ac:dyDescent="0.25">
      <c r="A17" s="21">
        <v>42166</v>
      </c>
      <c r="B17" s="21"/>
      <c r="C17" s="22" t="s">
        <v>74</v>
      </c>
      <c r="D17" s="23">
        <v>8</v>
      </c>
      <c r="E17" s="23">
        <v>20</v>
      </c>
      <c r="F17" s="38">
        <f t="shared" si="3"/>
        <v>0.4</v>
      </c>
      <c r="G17" s="23">
        <v>0</v>
      </c>
      <c r="H17" s="23">
        <v>4</v>
      </c>
      <c r="I17" s="38">
        <f t="shared" si="4"/>
        <v>0</v>
      </c>
      <c r="J17" s="23">
        <v>5</v>
      </c>
      <c r="K17" s="23">
        <v>6</v>
      </c>
      <c r="L17" s="38">
        <f t="shared" si="5"/>
        <v>0.83333333333333337</v>
      </c>
      <c r="M17" s="23">
        <v>8</v>
      </c>
      <c r="N17" s="23">
        <v>2</v>
      </c>
      <c r="O17" s="23">
        <v>4</v>
      </c>
      <c r="P17" s="23">
        <v>5</v>
      </c>
      <c r="Q17" s="23">
        <v>0</v>
      </c>
      <c r="R17" s="25">
        <v>21</v>
      </c>
    </row>
    <row r="18" spans="1:20" x14ac:dyDescent="0.25">
      <c r="A18" s="21">
        <v>42166</v>
      </c>
      <c r="B18" s="21"/>
      <c r="C18" s="22" t="s">
        <v>95</v>
      </c>
      <c r="D18" s="23">
        <v>3</v>
      </c>
      <c r="E18" s="23">
        <v>10</v>
      </c>
      <c r="F18" s="38">
        <f t="shared" si="3"/>
        <v>0.3</v>
      </c>
      <c r="G18" s="23">
        <v>0</v>
      </c>
      <c r="H18" s="23">
        <v>0</v>
      </c>
      <c r="I18" s="38">
        <f t="shared" si="4"/>
        <v>0</v>
      </c>
      <c r="J18" s="23">
        <v>1</v>
      </c>
      <c r="K18" s="23">
        <v>1</v>
      </c>
      <c r="L18" s="38">
        <f t="shared" si="5"/>
        <v>1</v>
      </c>
      <c r="M18" s="23">
        <v>5</v>
      </c>
      <c r="N18" s="23">
        <v>3</v>
      </c>
      <c r="O18" s="23">
        <v>0</v>
      </c>
      <c r="P18" s="23">
        <v>1</v>
      </c>
      <c r="Q18" s="23">
        <v>0</v>
      </c>
      <c r="R18" s="25">
        <v>7</v>
      </c>
    </row>
    <row r="19" spans="1:20" x14ac:dyDescent="0.25">
      <c r="A19" s="21">
        <v>42166</v>
      </c>
      <c r="B19" s="21"/>
      <c r="C19" s="22" t="s">
        <v>75</v>
      </c>
      <c r="D19" s="23">
        <v>6</v>
      </c>
      <c r="E19" s="23">
        <v>13</v>
      </c>
      <c r="F19" s="38">
        <f t="shared" si="3"/>
        <v>0.46153846153846156</v>
      </c>
      <c r="G19" s="23">
        <v>0</v>
      </c>
      <c r="H19" s="23">
        <v>0</v>
      </c>
      <c r="I19" s="38">
        <f t="shared" si="4"/>
        <v>0</v>
      </c>
      <c r="J19" s="23">
        <v>2</v>
      </c>
      <c r="K19" s="23">
        <v>3</v>
      </c>
      <c r="L19" s="38">
        <f t="shared" si="5"/>
        <v>0.66666666666666663</v>
      </c>
      <c r="M19" s="23">
        <v>12</v>
      </c>
      <c r="N19" s="23">
        <v>1</v>
      </c>
      <c r="O19" s="23">
        <v>1</v>
      </c>
      <c r="P19" s="23">
        <v>2</v>
      </c>
      <c r="Q19" s="23">
        <v>3</v>
      </c>
      <c r="R19" s="25">
        <v>14</v>
      </c>
    </row>
    <row r="20" spans="1:20" x14ac:dyDescent="0.25">
      <c r="A20" s="21">
        <v>42166</v>
      </c>
      <c r="B20" s="21"/>
      <c r="C20" s="22" t="s">
        <v>78</v>
      </c>
      <c r="D20" s="23">
        <v>0</v>
      </c>
      <c r="E20" s="23">
        <v>5</v>
      </c>
      <c r="F20" s="38">
        <f t="shared" si="3"/>
        <v>0</v>
      </c>
      <c r="G20" s="23">
        <v>0</v>
      </c>
      <c r="H20" s="23">
        <v>0</v>
      </c>
      <c r="I20" s="38">
        <f t="shared" si="4"/>
        <v>0</v>
      </c>
      <c r="J20" s="23">
        <v>0</v>
      </c>
      <c r="K20" s="23">
        <v>0</v>
      </c>
      <c r="L20" s="38">
        <f t="shared" si="5"/>
        <v>0</v>
      </c>
      <c r="M20" s="23">
        <v>2</v>
      </c>
      <c r="N20" s="23">
        <v>0</v>
      </c>
      <c r="O20" s="23">
        <v>1</v>
      </c>
      <c r="P20" s="23">
        <v>0</v>
      </c>
      <c r="Q20" s="23">
        <v>1</v>
      </c>
      <c r="R20" s="25">
        <v>0</v>
      </c>
    </row>
    <row r="21" spans="1:20" x14ac:dyDescent="0.25">
      <c r="A21" s="21">
        <v>42166</v>
      </c>
      <c r="B21" s="20"/>
      <c r="C21" s="41" t="s">
        <v>94</v>
      </c>
      <c r="D21" s="42">
        <v>2</v>
      </c>
      <c r="E21" s="42">
        <v>5</v>
      </c>
      <c r="F21" s="19">
        <f t="shared" si="3"/>
        <v>0.4</v>
      </c>
      <c r="G21" s="42">
        <v>2</v>
      </c>
      <c r="H21" s="42">
        <v>4</v>
      </c>
      <c r="I21" s="19">
        <f t="shared" si="4"/>
        <v>0.5</v>
      </c>
      <c r="J21" s="42">
        <v>0</v>
      </c>
      <c r="K21" s="42">
        <v>0</v>
      </c>
      <c r="L21" s="19">
        <f t="shared" si="5"/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6</v>
      </c>
    </row>
    <row r="22" spans="1:20" x14ac:dyDescent="0.25">
      <c r="A22" s="21">
        <v>42167</v>
      </c>
      <c r="B22" s="21"/>
      <c r="C22" s="22" t="s">
        <v>74</v>
      </c>
      <c r="D22" s="23">
        <v>7</v>
      </c>
      <c r="E22" s="23">
        <v>18</v>
      </c>
      <c r="F22" s="38">
        <f t="shared" si="3"/>
        <v>0.3888888888888889</v>
      </c>
      <c r="G22" s="23">
        <v>2</v>
      </c>
      <c r="H22" s="23">
        <v>4</v>
      </c>
      <c r="I22" s="38">
        <f t="shared" si="4"/>
        <v>0.5</v>
      </c>
      <c r="J22" s="23">
        <v>5</v>
      </c>
      <c r="K22" s="23">
        <v>5</v>
      </c>
      <c r="L22" s="38">
        <f t="shared" si="5"/>
        <v>1</v>
      </c>
      <c r="M22" s="23">
        <v>6</v>
      </c>
      <c r="N22" s="23">
        <v>3</v>
      </c>
      <c r="O22" s="23">
        <v>3</v>
      </c>
      <c r="P22" s="23">
        <v>1</v>
      </c>
      <c r="Q22" s="23">
        <v>0</v>
      </c>
      <c r="R22" s="25">
        <v>21</v>
      </c>
    </row>
    <row r="23" spans="1:20" x14ac:dyDescent="0.25">
      <c r="A23" s="21">
        <v>42167</v>
      </c>
      <c r="B23" s="21"/>
      <c r="C23" s="22" t="s">
        <v>76</v>
      </c>
      <c r="D23" s="23">
        <v>4</v>
      </c>
      <c r="E23" s="23">
        <v>19</v>
      </c>
      <c r="F23" s="38">
        <f t="shared" si="3"/>
        <v>0.21052631578947367</v>
      </c>
      <c r="G23" s="23">
        <v>1</v>
      </c>
      <c r="H23" s="23">
        <v>6</v>
      </c>
      <c r="I23" s="38">
        <f t="shared" si="4"/>
        <v>0.16666666666666666</v>
      </c>
      <c r="J23" s="23">
        <v>3</v>
      </c>
      <c r="K23" s="23">
        <v>3</v>
      </c>
      <c r="L23" s="38">
        <f t="shared" si="5"/>
        <v>1</v>
      </c>
      <c r="M23" s="23">
        <v>6</v>
      </c>
      <c r="N23" s="23">
        <v>4</v>
      </c>
      <c r="O23" s="23">
        <v>2</v>
      </c>
      <c r="P23" s="23">
        <v>3</v>
      </c>
      <c r="Q23" s="23">
        <v>0</v>
      </c>
      <c r="R23" s="25">
        <v>12</v>
      </c>
    </row>
    <row r="24" spans="1:20" x14ac:dyDescent="0.25">
      <c r="A24" s="21">
        <v>42167</v>
      </c>
      <c r="B24" s="21"/>
      <c r="C24" s="22" t="s">
        <v>77</v>
      </c>
      <c r="D24" s="23">
        <v>3</v>
      </c>
      <c r="E24" s="23">
        <v>8</v>
      </c>
      <c r="F24" s="38">
        <f t="shared" si="3"/>
        <v>0.375</v>
      </c>
      <c r="G24" s="23">
        <v>0</v>
      </c>
      <c r="H24" s="23">
        <v>0</v>
      </c>
      <c r="I24" s="38">
        <f t="shared" si="4"/>
        <v>0</v>
      </c>
      <c r="J24" s="23">
        <v>2</v>
      </c>
      <c r="K24" s="23">
        <v>2</v>
      </c>
      <c r="L24" s="38">
        <f t="shared" si="5"/>
        <v>1</v>
      </c>
      <c r="M24" s="23">
        <v>1</v>
      </c>
      <c r="N24" s="23">
        <v>1</v>
      </c>
      <c r="O24" s="23">
        <v>1</v>
      </c>
      <c r="P24" s="23">
        <v>2</v>
      </c>
      <c r="Q24" s="23">
        <v>0</v>
      </c>
      <c r="R24" s="25">
        <v>8</v>
      </c>
    </row>
    <row r="25" spans="1:20" x14ac:dyDescent="0.25">
      <c r="A25" s="21">
        <v>42169</v>
      </c>
      <c r="B25" s="21"/>
      <c r="C25" s="22" t="s">
        <v>74</v>
      </c>
      <c r="D25" s="23">
        <v>9</v>
      </c>
      <c r="E25" s="23">
        <v>23</v>
      </c>
      <c r="F25" s="38">
        <f t="shared" ref="F25:F31" si="6">IF(E25=0,0,D25/E25)</f>
        <v>0.39130434782608697</v>
      </c>
      <c r="G25" s="23">
        <v>2</v>
      </c>
      <c r="H25" s="23">
        <v>5</v>
      </c>
      <c r="I25" s="38">
        <f t="shared" ref="I25:I31" si="7">IF(H25=0,0,G25/H25)</f>
        <v>0.4</v>
      </c>
      <c r="J25" s="23">
        <v>4</v>
      </c>
      <c r="K25" s="23">
        <v>4</v>
      </c>
      <c r="L25" s="38">
        <f t="shared" ref="L25:L31" si="8">IF(K25=0,0,J25/K25)</f>
        <v>1</v>
      </c>
      <c r="M25" s="23">
        <v>2</v>
      </c>
      <c r="N25" s="23">
        <v>1</v>
      </c>
      <c r="O25" s="23">
        <v>1</v>
      </c>
      <c r="P25" s="23">
        <v>4</v>
      </c>
      <c r="Q25" s="23">
        <v>0</v>
      </c>
      <c r="R25" s="25">
        <v>24</v>
      </c>
    </row>
    <row r="26" spans="1:20" x14ac:dyDescent="0.25">
      <c r="A26" s="21">
        <v>42169</v>
      </c>
      <c r="B26" s="21"/>
      <c r="C26" s="22" t="s">
        <v>76</v>
      </c>
      <c r="D26" s="23">
        <v>7</v>
      </c>
      <c r="E26" s="23">
        <v>17</v>
      </c>
      <c r="F26" s="38">
        <f t="shared" si="6"/>
        <v>0.41176470588235292</v>
      </c>
      <c r="G26" s="23">
        <v>1</v>
      </c>
      <c r="H26" s="23">
        <v>5</v>
      </c>
      <c r="I26" s="38">
        <f t="shared" si="7"/>
        <v>0.2</v>
      </c>
      <c r="J26" s="23">
        <v>7</v>
      </c>
      <c r="K26" s="23">
        <v>7</v>
      </c>
      <c r="L26" s="38">
        <f t="shared" si="8"/>
        <v>1</v>
      </c>
      <c r="M26" s="23">
        <v>7</v>
      </c>
      <c r="N26" s="23">
        <v>1</v>
      </c>
      <c r="O26" s="23">
        <v>1</v>
      </c>
      <c r="P26" s="23">
        <v>3</v>
      </c>
      <c r="Q26" s="23">
        <v>1</v>
      </c>
      <c r="R26" s="25">
        <v>22</v>
      </c>
    </row>
    <row r="27" spans="1:20" x14ac:dyDescent="0.25">
      <c r="A27" s="21">
        <v>42169</v>
      </c>
      <c r="B27" s="21"/>
      <c r="C27" s="22" t="s">
        <v>95</v>
      </c>
      <c r="D27" s="23">
        <v>1</v>
      </c>
      <c r="E27" s="23">
        <v>8</v>
      </c>
      <c r="F27" s="38">
        <f t="shared" si="6"/>
        <v>0.125</v>
      </c>
      <c r="G27" s="23">
        <v>0</v>
      </c>
      <c r="H27" s="23">
        <v>2</v>
      </c>
      <c r="I27" s="38">
        <f t="shared" si="7"/>
        <v>0</v>
      </c>
      <c r="J27" s="23">
        <v>7</v>
      </c>
      <c r="K27" s="23">
        <v>7</v>
      </c>
      <c r="L27" s="38">
        <f t="shared" si="8"/>
        <v>1</v>
      </c>
      <c r="M27" s="23">
        <v>5</v>
      </c>
      <c r="N27" s="23">
        <v>3</v>
      </c>
      <c r="O27" s="23">
        <v>2</v>
      </c>
      <c r="P27" s="23">
        <v>5</v>
      </c>
      <c r="Q27" s="23">
        <v>0</v>
      </c>
      <c r="R27" s="25">
        <v>9</v>
      </c>
    </row>
    <row r="28" spans="1:20" x14ac:dyDescent="0.25">
      <c r="A28" s="21">
        <v>42169</v>
      </c>
      <c r="B28" s="21"/>
      <c r="C28" s="22" t="s">
        <v>75</v>
      </c>
      <c r="D28" s="23">
        <v>9</v>
      </c>
      <c r="E28" s="23">
        <v>11</v>
      </c>
      <c r="F28" s="38">
        <f t="shared" si="6"/>
        <v>0.81818181818181823</v>
      </c>
      <c r="G28" s="23">
        <v>0</v>
      </c>
      <c r="H28" s="23">
        <v>0</v>
      </c>
      <c r="I28" s="38">
        <f t="shared" si="7"/>
        <v>0</v>
      </c>
      <c r="J28" s="23">
        <v>0</v>
      </c>
      <c r="K28" s="23">
        <v>0</v>
      </c>
      <c r="L28" s="38">
        <f t="shared" si="8"/>
        <v>0</v>
      </c>
      <c r="M28" s="23">
        <v>5</v>
      </c>
      <c r="N28" s="23">
        <v>2</v>
      </c>
      <c r="O28" s="23">
        <v>1</v>
      </c>
      <c r="P28" s="23">
        <v>6</v>
      </c>
      <c r="Q28" s="23">
        <v>0</v>
      </c>
      <c r="R28" s="25">
        <v>18</v>
      </c>
    </row>
    <row r="29" spans="1:20" x14ac:dyDescent="0.25">
      <c r="A29" s="21">
        <v>42169</v>
      </c>
      <c r="B29" s="21"/>
      <c r="C29" s="22" t="s">
        <v>77</v>
      </c>
      <c r="D29" s="23">
        <v>2</v>
      </c>
      <c r="E29" s="23">
        <v>10</v>
      </c>
      <c r="F29" s="38">
        <f t="shared" si="6"/>
        <v>0.2</v>
      </c>
      <c r="G29" s="23">
        <v>1</v>
      </c>
      <c r="H29" s="23">
        <v>4</v>
      </c>
      <c r="I29" s="38">
        <f t="shared" si="7"/>
        <v>0.25</v>
      </c>
      <c r="J29" s="23">
        <v>2</v>
      </c>
      <c r="K29" s="23">
        <v>2</v>
      </c>
      <c r="L29" s="38">
        <f t="shared" si="8"/>
        <v>1</v>
      </c>
      <c r="M29" s="23">
        <v>2</v>
      </c>
      <c r="N29" s="23">
        <v>2</v>
      </c>
      <c r="O29" s="23">
        <v>0</v>
      </c>
      <c r="P29" s="23">
        <v>1</v>
      </c>
      <c r="Q29" s="23">
        <v>0</v>
      </c>
      <c r="R29" s="25">
        <v>7</v>
      </c>
    </row>
    <row r="30" spans="1:20" s="10" customFormat="1" x14ac:dyDescent="0.25">
      <c r="A30" s="21">
        <v>42171</v>
      </c>
      <c r="B30" s="21"/>
      <c r="C30" s="22" t="s">
        <v>74</v>
      </c>
      <c r="D30" s="23">
        <v>5</v>
      </c>
      <c r="E30" s="23">
        <v>12</v>
      </c>
      <c r="F30" s="38">
        <f t="shared" si="6"/>
        <v>0.41666666666666669</v>
      </c>
      <c r="G30" s="23">
        <v>0</v>
      </c>
      <c r="H30" s="23">
        <v>1</v>
      </c>
      <c r="I30" s="38">
        <f t="shared" si="7"/>
        <v>0</v>
      </c>
      <c r="J30" s="23">
        <v>5</v>
      </c>
      <c r="K30" s="23">
        <v>9</v>
      </c>
      <c r="L30" s="38">
        <f t="shared" si="8"/>
        <v>0.55555555555555558</v>
      </c>
      <c r="M30" s="23">
        <v>5</v>
      </c>
      <c r="N30" s="23">
        <v>4</v>
      </c>
      <c r="O30" s="23">
        <v>3</v>
      </c>
      <c r="P30" s="23">
        <v>1</v>
      </c>
      <c r="Q30" s="23">
        <v>0</v>
      </c>
      <c r="R30" s="25">
        <v>15</v>
      </c>
      <c r="S30" s="40"/>
      <c r="T30" s="40"/>
    </row>
    <row r="31" spans="1:20" s="10" customFormat="1" x14ac:dyDescent="0.25">
      <c r="A31" s="21">
        <v>42171</v>
      </c>
      <c r="B31" s="21"/>
      <c r="C31" s="22" t="s">
        <v>75</v>
      </c>
      <c r="D31" s="23">
        <v>3</v>
      </c>
      <c r="E31" s="23">
        <v>7</v>
      </c>
      <c r="F31" s="38">
        <f t="shared" si="6"/>
        <v>0.42857142857142855</v>
      </c>
      <c r="G31" s="23">
        <v>0</v>
      </c>
      <c r="H31" s="23">
        <v>0</v>
      </c>
      <c r="I31" s="38">
        <f t="shared" si="7"/>
        <v>0</v>
      </c>
      <c r="J31" s="23">
        <v>0</v>
      </c>
      <c r="K31" s="23">
        <v>0</v>
      </c>
      <c r="L31" s="38">
        <f t="shared" si="8"/>
        <v>0</v>
      </c>
      <c r="M31" s="23">
        <v>3</v>
      </c>
      <c r="N31" s="23">
        <v>1</v>
      </c>
      <c r="O31" s="23">
        <v>0</v>
      </c>
      <c r="P31" s="23">
        <v>4</v>
      </c>
      <c r="Q31" s="23">
        <v>0</v>
      </c>
      <c r="R31" s="25">
        <v>6</v>
      </c>
      <c r="S31" s="40"/>
      <c r="T31" s="40"/>
    </row>
    <row r="32" spans="1:20" s="10" customFormat="1" x14ac:dyDescent="0.25">
      <c r="A32" s="21">
        <v>42171</v>
      </c>
      <c r="B32" s="21"/>
      <c r="C32" s="22" t="s">
        <v>94</v>
      </c>
      <c r="D32" s="23">
        <v>0</v>
      </c>
      <c r="E32" s="23">
        <v>1</v>
      </c>
      <c r="F32" s="38">
        <f t="shared" ref="F32:F54" si="9">IF(E32=0,0,D32/E32)</f>
        <v>0</v>
      </c>
      <c r="G32" s="23">
        <v>0</v>
      </c>
      <c r="H32" s="23">
        <v>0</v>
      </c>
      <c r="I32" s="38">
        <f t="shared" ref="I32:I54" si="10">IF(H32=0,0,G32/H32)</f>
        <v>0</v>
      </c>
      <c r="J32" s="23">
        <v>0</v>
      </c>
      <c r="K32" s="23">
        <v>0</v>
      </c>
      <c r="L32" s="38">
        <f t="shared" ref="L32:L54" si="11">IF(K32=0,0,J32/K32)</f>
        <v>0</v>
      </c>
      <c r="M32" s="23">
        <v>1</v>
      </c>
      <c r="N32" s="23">
        <v>0</v>
      </c>
      <c r="O32" s="23">
        <v>0</v>
      </c>
      <c r="P32" s="23">
        <v>0</v>
      </c>
      <c r="Q32" s="23">
        <v>0</v>
      </c>
      <c r="R32" s="25">
        <v>0</v>
      </c>
      <c r="S32" s="40"/>
      <c r="T32" s="40"/>
    </row>
    <row r="33" spans="1:20" s="10" customFormat="1" x14ac:dyDescent="0.25">
      <c r="A33" s="21">
        <v>42171</v>
      </c>
      <c r="B33" s="21"/>
      <c r="C33" s="22" t="s">
        <v>77</v>
      </c>
      <c r="D33" s="23">
        <v>1</v>
      </c>
      <c r="E33" s="23">
        <v>3</v>
      </c>
      <c r="F33" s="38">
        <f t="shared" si="9"/>
        <v>0.33333333333333331</v>
      </c>
      <c r="G33" s="23">
        <v>0</v>
      </c>
      <c r="H33" s="23">
        <v>0</v>
      </c>
      <c r="I33" s="38">
        <f t="shared" si="10"/>
        <v>0</v>
      </c>
      <c r="J33" s="23">
        <v>5</v>
      </c>
      <c r="K33" s="23">
        <v>8</v>
      </c>
      <c r="L33" s="38">
        <f t="shared" si="11"/>
        <v>0.625</v>
      </c>
      <c r="M33" s="23">
        <v>2</v>
      </c>
      <c r="N33" s="23">
        <v>6</v>
      </c>
      <c r="O33" s="23">
        <v>4</v>
      </c>
      <c r="P33" s="23">
        <v>3</v>
      </c>
      <c r="Q33" s="23">
        <v>0</v>
      </c>
      <c r="R33" s="25">
        <v>7</v>
      </c>
      <c r="S33" s="40"/>
      <c r="T33" s="40"/>
    </row>
    <row r="34" spans="1:20" x14ac:dyDescent="0.25">
      <c r="A34" s="21">
        <v>42174</v>
      </c>
      <c r="B34" s="21"/>
      <c r="C34" s="22" t="s">
        <v>76</v>
      </c>
      <c r="D34" s="23">
        <v>7</v>
      </c>
      <c r="E34" s="23">
        <v>18</v>
      </c>
      <c r="F34" s="38">
        <f t="shared" si="9"/>
        <v>0.3888888888888889</v>
      </c>
      <c r="G34" s="23">
        <v>0</v>
      </c>
      <c r="H34" s="23">
        <v>5</v>
      </c>
      <c r="I34" s="38">
        <f t="shared" si="10"/>
        <v>0</v>
      </c>
      <c r="J34" s="23">
        <v>7</v>
      </c>
      <c r="K34" s="23">
        <v>9</v>
      </c>
      <c r="L34" s="38">
        <f t="shared" si="11"/>
        <v>0.77777777777777779</v>
      </c>
      <c r="M34" s="23">
        <v>9</v>
      </c>
      <c r="N34" s="23">
        <v>4</v>
      </c>
      <c r="O34" s="23">
        <v>0</v>
      </c>
      <c r="P34" s="23">
        <v>5</v>
      </c>
      <c r="Q34" s="23">
        <v>2</v>
      </c>
      <c r="R34" s="25">
        <v>21</v>
      </c>
    </row>
    <row r="35" spans="1:20" x14ac:dyDescent="0.25">
      <c r="A35" s="21">
        <v>42174</v>
      </c>
      <c r="B35" s="21"/>
      <c r="C35" s="22" t="s">
        <v>75</v>
      </c>
      <c r="D35" s="23">
        <v>13</v>
      </c>
      <c r="E35" s="23">
        <v>19</v>
      </c>
      <c r="F35" s="38">
        <f t="shared" si="9"/>
        <v>0.68421052631578949</v>
      </c>
      <c r="G35" s="23">
        <v>0</v>
      </c>
      <c r="H35" s="23">
        <v>0</v>
      </c>
      <c r="I35" s="38">
        <f t="shared" si="10"/>
        <v>0</v>
      </c>
      <c r="J35" s="23">
        <v>1</v>
      </c>
      <c r="K35" s="23">
        <v>2</v>
      </c>
      <c r="L35" s="38">
        <f t="shared" si="11"/>
        <v>0.5</v>
      </c>
      <c r="M35" s="23">
        <v>14</v>
      </c>
      <c r="N35" s="23">
        <v>3</v>
      </c>
      <c r="O35" s="23">
        <v>0</v>
      </c>
      <c r="P35" s="23">
        <v>2</v>
      </c>
      <c r="Q35" s="23">
        <v>2</v>
      </c>
      <c r="R35" s="25">
        <v>27</v>
      </c>
    </row>
    <row r="36" spans="1:20" x14ac:dyDescent="0.25">
      <c r="A36" s="21">
        <v>42174</v>
      </c>
      <c r="B36" s="21"/>
      <c r="C36" s="22" t="s">
        <v>55</v>
      </c>
      <c r="D36" s="23">
        <v>3</v>
      </c>
      <c r="E36" s="23">
        <v>12</v>
      </c>
      <c r="F36" s="38">
        <f t="shared" si="9"/>
        <v>0.25</v>
      </c>
      <c r="G36" s="23">
        <v>0</v>
      </c>
      <c r="H36" s="23">
        <v>3</v>
      </c>
      <c r="I36" s="38">
        <f t="shared" si="10"/>
        <v>0</v>
      </c>
      <c r="J36" s="23">
        <v>0</v>
      </c>
      <c r="K36" s="23">
        <v>0</v>
      </c>
      <c r="L36" s="38">
        <f t="shared" si="11"/>
        <v>0</v>
      </c>
      <c r="M36" s="23">
        <v>6</v>
      </c>
      <c r="N36" s="23">
        <v>3</v>
      </c>
      <c r="O36" s="23">
        <v>2</v>
      </c>
      <c r="P36" s="23">
        <v>4</v>
      </c>
      <c r="Q36" s="23">
        <v>0</v>
      </c>
      <c r="R36" s="25">
        <v>6</v>
      </c>
    </row>
    <row r="37" spans="1:20" x14ac:dyDescent="0.25">
      <c r="A37" s="21">
        <v>42174</v>
      </c>
      <c r="B37" s="20"/>
      <c r="C37" s="15" t="s">
        <v>77</v>
      </c>
      <c r="D37" s="16">
        <v>4</v>
      </c>
      <c r="E37" s="16">
        <v>6</v>
      </c>
      <c r="F37" s="19">
        <f t="shared" si="9"/>
        <v>0.66666666666666663</v>
      </c>
      <c r="G37" s="16">
        <v>1</v>
      </c>
      <c r="H37" s="16">
        <v>1</v>
      </c>
      <c r="I37" s="19">
        <f t="shared" si="10"/>
        <v>1</v>
      </c>
      <c r="J37" s="16">
        <v>0</v>
      </c>
      <c r="K37" s="16">
        <v>0</v>
      </c>
      <c r="L37" s="19">
        <f t="shared" si="11"/>
        <v>0</v>
      </c>
      <c r="M37" s="16">
        <v>5</v>
      </c>
      <c r="N37" s="16">
        <v>1</v>
      </c>
      <c r="O37" s="16">
        <v>1</v>
      </c>
      <c r="P37" s="16">
        <v>4</v>
      </c>
      <c r="Q37" s="16">
        <v>0</v>
      </c>
      <c r="R37" s="16">
        <v>9</v>
      </c>
    </row>
    <row r="38" spans="1:20" x14ac:dyDescent="0.25">
      <c r="A38" s="21">
        <v>42174</v>
      </c>
      <c r="B38" s="21"/>
      <c r="C38" s="22" t="s">
        <v>74</v>
      </c>
      <c r="D38" s="23">
        <v>7</v>
      </c>
      <c r="E38" s="23">
        <v>18</v>
      </c>
      <c r="F38" s="38">
        <f t="shared" si="9"/>
        <v>0.3888888888888889</v>
      </c>
      <c r="G38" s="23">
        <v>0</v>
      </c>
      <c r="H38" s="23">
        <v>1</v>
      </c>
      <c r="I38" s="38">
        <f t="shared" si="10"/>
        <v>0</v>
      </c>
      <c r="J38" s="23">
        <v>4</v>
      </c>
      <c r="K38" s="23">
        <v>5</v>
      </c>
      <c r="L38" s="38">
        <f t="shared" si="11"/>
        <v>0.8</v>
      </c>
      <c r="M38" s="23">
        <v>8</v>
      </c>
      <c r="N38" s="23">
        <v>6</v>
      </c>
      <c r="O38" s="23">
        <v>3</v>
      </c>
      <c r="P38" s="23">
        <v>5</v>
      </c>
      <c r="Q38" s="23">
        <v>0</v>
      </c>
      <c r="R38" s="25">
        <v>18</v>
      </c>
    </row>
    <row r="39" spans="1:20" x14ac:dyDescent="0.25">
      <c r="A39" s="21">
        <v>42174</v>
      </c>
      <c r="B39" s="21"/>
      <c r="C39" s="22" t="s">
        <v>95</v>
      </c>
      <c r="D39" s="23">
        <v>4</v>
      </c>
      <c r="E39" s="23">
        <v>11</v>
      </c>
      <c r="F39" s="38">
        <f t="shared" si="9"/>
        <v>0.36363636363636365</v>
      </c>
      <c r="G39" s="23">
        <v>1</v>
      </c>
      <c r="H39" s="23">
        <v>3</v>
      </c>
      <c r="I39" s="38">
        <f t="shared" si="10"/>
        <v>0.33333333333333331</v>
      </c>
      <c r="J39" s="23">
        <v>2</v>
      </c>
      <c r="K39" s="23">
        <v>2</v>
      </c>
      <c r="L39" s="38">
        <f t="shared" si="11"/>
        <v>1</v>
      </c>
      <c r="M39" s="23">
        <v>5</v>
      </c>
      <c r="N39" s="23">
        <v>2</v>
      </c>
      <c r="O39" s="23">
        <v>2</v>
      </c>
      <c r="P39" s="23">
        <v>2</v>
      </c>
      <c r="Q39" s="23">
        <v>0</v>
      </c>
      <c r="R39" s="25">
        <v>11</v>
      </c>
    </row>
    <row r="40" spans="1:20" x14ac:dyDescent="0.25">
      <c r="A40" s="21">
        <v>42175</v>
      </c>
      <c r="B40" s="21"/>
      <c r="C40" s="22" t="s">
        <v>77</v>
      </c>
      <c r="D40" s="23">
        <v>4</v>
      </c>
      <c r="E40" s="23">
        <v>10</v>
      </c>
      <c r="F40" s="38">
        <f t="shared" si="9"/>
        <v>0.4</v>
      </c>
      <c r="G40" s="23">
        <v>2</v>
      </c>
      <c r="H40" s="23">
        <v>6</v>
      </c>
      <c r="I40" s="38">
        <f t="shared" si="10"/>
        <v>0.33333333333333331</v>
      </c>
      <c r="J40" s="23">
        <v>4</v>
      </c>
      <c r="K40" s="23">
        <v>4</v>
      </c>
      <c r="L40" s="38">
        <f t="shared" si="11"/>
        <v>1</v>
      </c>
      <c r="M40" s="23">
        <v>2</v>
      </c>
      <c r="N40" s="23">
        <v>7</v>
      </c>
      <c r="O40" s="23">
        <v>2</v>
      </c>
      <c r="P40" s="23">
        <v>2</v>
      </c>
      <c r="Q40" s="23">
        <v>0</v>
      </c>
      <c r="R40" s="25">
        <v>14</v>
      </c>
    </row>
    <row r="41" spans="1:20" x14ac:dyDescent="0.25">
      <c r="A41" s="21">
        <v>42176</v>
      </c>
      <c r="B41" s="21"/>
      <c r="C41" s="22" t="s">
        <v>95</v>
      </c>
      <c r="D41" s="23">
        <v>5</v>
      </c>
      <c r="E41" s="23">
        <v>10</v>
      </c>
      <c r="F41" s="38">
        <f t="shared" si="9"/>
        <v>0.5</v>
      </c>
      <c r="G41" s="23">
        <v>1</v>
      </c>
      <c r="H41" s="23">
        <v>2</v>
      </c>
      <c r="I41" s="38">
        <f t="shared" si="10"/>
        <v>0.5</v>
      </c>
      <c r="J41" s="23">
        <v>7</v>
      </c>
      <c r="K41" s="23">
        <v>8</v>
      </c>
      <c r="L41" s="38">
        <f t="shared" si="11"/>
        <v>0.875</v>
      </c>
      <c r="M41" s="23">
        <v>5</v>
      </c>
      <c r="N41" s="23">
        <v>2</v>
      </c>
      <c r="O41" s="23">
        <v>2</v>
      </c>
      <c r="P41" s="23">
        <v>6</v>
      </c>
      <c r="Q41" s="23">
        <v>2</v>
      </c>
      <c r="R41" s="25">
        <v>18</v>
      </c>
    </row>
    <row r="42" spans="1:20" x14ac:dyDescent="0.25">
      <c r="A42" s="21">
        <v>42176</v>
      </c>
      <c r="B42" s="21"/>
      <c r="C42" s="22" t="s">
        <v>75</v>
      </c>
      <c r="D42" s="23">
        <v>7</v>
      </c>
      <c r="E42" s="23">
        <v>11</v>
      </c>
      <c r="F42" s="38">
        <f t="shared" si="9"/>
        <v>0.63636363636363635</v>
      </c>
      <c r="G42" s="23">
        <v>0</v>
      </c>
      <c r="H42" s="23">
        <v>0</v>
      </c>
      <c r="I42" s="38">
        <f t="shared" si="10"/>
        <v>0</v>
      </c>
      <c r="J42" s="23">
        <v>0</v>
      </c>
      <c r="K42" s="23">
        <v>0</v>
      </c>
      <c r="L42" s="38">
        <f t="shared" si="11"/>
        <v>0</v>
      </c>
      <c r="M42" s="23">
        <v>5</v>
      </c>
      <c r="N42" s="23">
        <v>2</v>
      </c>
      <c r="O42" s="23">
        <v>0</v>
      </c>
      <c r="P42" s="23">
        <v>3</v>
      </c>
      <c r="Q42" s="23">
        <v>0</v>
      </c>
      <c r="R42" s="25">
        <v>14</v>
      </c>
    </row>
    <row r="43" spans="1:20" x14ac:dyDescent="0.25">
      <c r="A43" s="21">
        <v>42176</v>
      </c>
      <c r="B43" s="21"/>
      <c r="C43" s="22" t="s">
        <v>74</v>
      </c>
      <c r="D43" s="23">
        <v>4</v>
      </c>
      <c r="E43" s="23">
        <v>16</v>
      </c>
      <c r="F43" s="38">
        <f t="shared" si="9"/>
        <v>0.25</v>
      </c>
      <c r="G43" s="23">
        <v>0</v>
      </c>
      <c r="H43" s="23">
        <v>4</v>
      </c>
      <c r="I43" s="38">
        <f t="shared" si="10"/>
        <v>0</v>
      </c>
      <c r="J43" s="23">
        <v>9</v>
      </c>
      <c r="K43" s="23">
        <v>9</v>
      </c>
      <c r="L43" s="38">
        <f t="shared" si="11"/>
        <v>1</v>
      </c>
      <c r="M43" s="23">
        <v>5</v>
      </c>
      <c r="N43" s="23">
        <v>4</v>
      </c>
      <c r="O43" s="23">
        <v>0</v>
      </c>
      <c r="P43" s="23">
        <v>4</v>
      </c>
      <c r="Q43" s="23">
        <v>0</v>
      </c>
      <c r="R43" s="25">
        <v>17</v>
      </c>
    </row>
    <row r="44" spans="1:20" x14ac:dyDescent="0.25">
      <c r="A44" s="21">
        <v>42176</v>
      </c>
      <c r="B44" s="21"/>
      <c r="C44" s="22" t="s">
        <v>113</v>
      </c>
      <c r="D44" s="23">
        <v>5</v>
      </c>
      <c r="E44" s="23">
        <v>6</v>
      </c>
      <c r="F44" s="38">
        <f t="shared" si="9"/>
        <v>0.83333333333333337</v>
      </c>
      <c r="G44" s="23">
        <v>0</v>
      </c>
      <c r="H44" s="23">
        <v>0</v>
      </c>
      <c r="I44" s="38">
        <f t="shared" si="10"/>
        <v>0</v>
      </c>
      <c r="J44" s="23">
        <v>2</v>
      </c>
      <c r="K44" s="23">
        <v>2</v>
      </c>
      <c r="L44" s="38">
        <f t="shared" si="11"/>
        <v>1</v>
      </c>
      <c r="M44" s="23">
        <v>6</v>
      </c>
      <c r="N44" s="23">
        <v>1</v>
      </c>
      <c r="O44" s="23">
        <v>0</v>
      </c>
      <c r="P44" s="23">
        <v>0</v>
      </c>
      <c r="Q44" s="23">
        <v>0</v>
      </c>
      <c r="R44" s="25">
        <v>12</v>
      </c>
    </row>
    <row r="45" spans="1:20" x14ac:dyDescent="0.25">
      <c r="A45" s="21">
        <v>42176</v>
      </c>
      <c r="B45" s="21"/>
      <c r="C45" s="22" t="s">
        <v>76</v>
      </c>
      <c r="D45" s="23">
        <v>7</v>
      </c>
      <c r="E45" s="23">
        <v>17</v>
      </c>
      <c r="F45" s="38">
        <f t="shared" si="9"/>
        <v>0.41176470588235292</v>
      </c>
      <c r="G45" s="23">
        <v>2</v>
      </c>
      <c r="H45" s="23">
        <v>5</v>
      </c>
      <c r="I45" s="38">
        <f t="shared" si="10"/>
        <v>0.4</v>
      </c>
      <c r="J45" s="23">
        <v>7</v>
      </c>
      <c r="K45" s="23">
        <v>9</v>
      </c>
      <c r="L45" s="38">
        <f t="shared" si="11"/>
        <v>0.77777777777777779</v>
      </c>
      <c r="M45" s="23">
        <v>8</v>
      </c>
      <c r="N45" s="23">
        <v>2</v>
      </c>
      <c r="O45" s="23">
        <v>2</v>
      </c>
      <c r="P45" s="23">
        <v>0</v>
      </c>
      <c r="Q45" s="23">
        <v>1</v>
      </c>
      <c r="R45" s="25">
        <v>23</v>
      </c>
    </row>
    <row r="46" spans="1:20" x14ac:dyDescent="0.25">
      <c r="A46" s="21">
        <v>42176</v>
      </c>
      <c r="B46" s="21"/>
      <c r="C46" s="47" t="s">
        <v>114</v>
      </c>
      <c r="D46" s="23">
        <v>0</v>
      </c>
      <c r="E46" s="23">
        <v>0</v>
      </c>
      <c r="F46" s="38">
        <f t="shared" si="9"/>
        <v>0</v>
      </c>
      <c r="G46" s="23">
        <v>0</v>
      </c>
      <c r="H46" s="23">
        <v>0</v>
      </c>
      <c r="I46" s="38">
        <f t="shared" si="10"/>
        <v>0</v>
      </c>
      <c r="J46" s="23">
        <v>0</v>
      </c>
      <c r="K46" s="23">
        <v>0</v>
      </c>
      <c r="L46" s="38">
        <f t="shared" si="11"/>
        <v>0</v>
      </c>
      <c r="M46" s="23">
        <v>0</v>
      </c>
      <c r="N46" s="23">
        <v>0</v>
      </c>
      <c r="O46" s="23">
        <v>0</v>
      </c>
      <c r="P46" s="23">
        <v>1</v>
      </c>
      <c r="Q46" s="23">
        <v>0</v>
      </c>
      <c r="R46" s="25">
        <v>0</v>
      </c>
    </row>
    <row r="47" spans="1:20" x14ac:dyDescent="0.25">
      <c r="A47" s="21">
        <v>42179</v>
      </c>
      <c r="B47" s="21"/>
      <c r="C47" s="22" t="s">
        <v>74</v>
      </c>
      <c r="D47" s="23">
        <v>13</v>
      </c>
      <c r="E47" s="23">
        <v>26</v>
      </c>
      <c r="F47" s="38">
        <f t="shared" si="9"/>
        <v>0.5</v>
      </c>
      <c r="G47" s="23">
        <v>3</v>
      </c>
      <c r="H47" s="23">
        <v>6</v>
      </c>
      <c r="I47" s="38">
        <f t="shared" si="10"/>
        <v>0.5</v>
      </c>
      <c r="J47" s="23">
        <v>5</v>
      </c>
      <c r="K47" s="23">
        <v>6</v>
      </c>
      <c r="L47" s="38">
        <f t="shared" si="11"/>
        <v>0.83333333333333337</v>
      </c>
      <c r="M47" s="23">
        <v>10</v>
      </c>
      <c r="N47" s="23">
        <v>6</v>
      </c>
      <c r="O47" s="23">
        <v>1</v>
      </c>
      <c r="P47" s="23">
        <v>8</v>
      </c>
      <c r="Q47" s="23">
        <v>2</v>
      </c>
      <c r="R47" s="25">
        <v>34</v>
      </c>
    </row>
    <row r="48" spans="1:20" x14ac:dyDescent="0.25">
      <c r="A48" s="21">
        <v>42180</v>
      </c>
      <c r="B48" s="21"/>
      <c r="C48" s="22" t="s">
        <v>76</v>
      </c>
      <c r="D48" s="23">
        <v>5</v>
      </c>
      <c r="E48" s="23">
        <v>16</v>
      </c>
      <c r="F48" s="38">
        <f t="shared" si="9"/>
        <v>0.3125</v>
      </c>
      <c r="G48" s="23">
        <v>1</v>
      </c>
      <c r="H48" s="23">
        <v>2</v>
      </c>
      <c r="I48" s="38">
        <f t="shared" si="10"/>
        <v>0.5</v>
      </c>
      <c r="J48" s="23">
        <v>6</v>
      </c>
      <c r="K48" s="23">
        <v>8</v>
      </c>
      <c r="L48" s="38">
        <f t="shared" si="11"/>
        <v>0.75</v>
      </c>
      <c r="M48" s="23">
        <v>9</v>
      </c>
      <c r="N48" s="23">
        <v>6</v>
      </c>
      <c r="O48" s="23">
        <v>2</v>
      </c>
      <c r="P48" s="23">
        <v>0</v>
      </c>
      <c r="Q48" s="23">
        <v>2</v>
      </c>
      <c r="R48" s="25">
        <v>17</v>
      </c>
    </row>
    <row r="49" spans="1:18" x14ac:dyDescent="0.25">
      <c r="A49" s="21">
        <v>42180</v>
      </c>
      <c r="B49" s="21"/>
      <c r="C49" s="22" t="s">
        <v>94</v>
      </c>
      <c r="D49" s="23">
        <v>0</v>
      </c>
      <c r="E49" s="23">
        <v>1</v>
      </c>
      <c r="F49" s="38">
        <f t="shared" si="9"/>
        <v>0</v>
      </c>
      <c r="G49" s="23">
        <v>0</v>
      </c>
      <c r="H49" s="23">
        <v>0</v>
      </c>
      <c r="I49" s="38">
        <f t="shared" si="10"/>
        <v>0</v>
      </c>
      <c r="J49" s="23">
        <v>0</v>
      </c>
      <c r="K49" s="23">
        <v>0</v>
      </c>
      <c r="L49" s="38">
        <f t="shared" si="11"/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5">
        <v>0</v>
      </c>
    </row>
    <row r="50" spans="1:18" x14ac:dyDescent="0.25">
      <c r="A50" s="21">
        <v>42181</v>
      </c>
      <c r="B50" s="21"/>
      <c r="C50" s="22" t="s">
        <v>113</v>
      </c>
      <c r="D50" s="23">
        <v>2</v>
      </c>
      <c r="E50" s="23">
        <v>6</v>
      </c>
      <c r="F50" s="38">
        <f t="shared" si="9"/>
        <v>0.33333333333333331</v>
      </c>
      <c r="G50" s="23">
        <v>0</v>
      </c>
      <c r="H50" s="23">
        <v>1</v>
      </c>
      <c r="I50" s="38">
        <f t="shared" si="10"/>
        <v>0</v>
      </c>
      <c r="J50" s="23">
        <v>0</v>
      </c>
      <c r="K50" s="23">
        <v>0</v>
      </c>
      <c r="L50" s="38">
        <f t="shared" si="11"/>
        <v>0</v>
      </c>
      <c r="M50" s="23">
        <v>6</v>
      </c>
      <c r="N50" s="23">
        <v>1</v>
      </c>
      <c r="O50" s="23">
        <v>0</v>
      </c>
      <c r="P50" s="23">
        <v>4</v>
      </c>
      <c r="Q50" s="23">
        <v>2</v>
      </c>
      <c r="R50" s="25">
        <v>4</v>
      </c>
    </row>
    <row r="51" spans="1:18" x14ac:dyDescent="0.25">
      <c r="A51" s="21">
        <v>42181</v>
      </c>
      <c r="B51" s="21"/>
      <c r="C51" s="22" t="s">
        <v>74</v>
      </c>
      <c r="D51" s="23">
        <v>7</v>
      </c>
      <c r="E51" s="23">
        <v>18</v>
      </c>
      <c r="F51" s="38">
        <f t="shared" si="9"/>
        <v>0.3888888888888889</v>
      </c>
      <c r="G51" s="23">
        <v>1</v>
      </c>
      <c r="H51" s="23">
        <v>3</v>
      </c>
      <c r="I51" s="38">
        <f t="shared" si="10"/>
        <v>0.33333333333333331</v>
      </c>
      <c r="J51" s="23">
        <v>3</v>
      </c>
      <c r="K51" s="23">
        <v>5</v>
      </c>
      <c r="L51" s="38">
        <f t="shared" si="11"/>
        <v>0.6</v>
      </c>
      <c r="M51" s="23">
        <v>7</v>
      </c>
      <c r="N51" s="23">
        <v>3</v>
      </c>
      <c r="O51" s="23">
        <v>3</v>
      </c>
      <c r="P51" s="23">
        <v>7</v>
      </c>
      <c r="Q51" s="23">
        <v>0</v>
      </c>
      <c r="R51" s="25">
        <v>18</v>
      </c>
    </row>
    <row r="52" spans="1:18" x14ac:dyDescent="0.25">
      <c r="A52" s="21">
        <v>42181</v>
      </c>
      <c r="B52" s="21"/>
      <c r="C52" s="22" t="s">
        <v>77</v>
      </c>
      <c r="D52" s="23">
        <v>2</v>
      </c>
      <c r="E52" s="23">
        <v>6</v>
      </c>
      <c r="F52" s="38">
        <f t="shared" si="9"/>
        <v>0.33333333333333331</v>
      </c>
      <c r="G52" s="23">
        <v>0</v>
      </c>
      <c r="H52" s="23">
        <v>3</v>
      </c>
      <c r="I52" s="38">
        <f t="shared" si="10"/>
        <v>0</v>
      </c>
      <c r="J52" s="23">
        <v>5</v>
      </c>
      <c r="K52" s="23">
        <v>5</v>
      </c>
      <c r="L52" s="38">
        <f t="shared" si="11"/>
        <v>1</v>
      </c>
      <c r="M52" s="23">
        <v>2</v>
      </c>
      <c r="N52" s="23">
        <v>4</v>
      </c>
      <c r="O52" s="23">
        <v>1</v>
      </c>
      <c r="P52" s="23">
        <v>4</v>
      </c>
      <c r="Q52" s="23">
        <v>0</v>
      </c>
      <c r="R52" s="25">
        <v>9</v>
      </c>
    </row>
    <row r="53" spans="1:18" x14ac:dyDescent="0.25">
      <c r="A53" s="21">
        <v>42181</v>
      </c>
      <c r="B53" s="21"/>
      <c r="C53" s="22" t="s">
        <v>95</v>
      </c>
      <c r="D53" s="23">
        <v>1</v>
      </c>
      <c r="E53" s="23">
        <v>1</v>
      </c>
      <c r="F53" s="38">
        <f t="shared" si="9"/>
        <v>1</v>
      </c>
      <c r="G53" s="23">
        <v>0</v>
      </c>
      <c r="H53" s="23">
        <v>0</v>
      </c>
      <c r="I53" s="38">
        <f t="shared" si="10"/>
        <v>0</v>
      </c>
      <c r="J53" s="23">
        <v>1</v>
      </c>
      <c r="K53" s="23">
        <v>2</v>
      </c>
      <c r="L53" s="38">
        <f t="shared" si="11"/>
        <v>0.5</v>
      </c>
      <c r="M53" s="23">
        <v>2</v>
      </c>
      <c r="N53" s="23">
        <v>2</v>
      </c>
      <c r="O53" s="23">
        <v>1</v>
      </c>
      <c r="P53" s="23">
        <v>1</v>
      </c>
      <c r="Q53" s="23">
        <v>0</v>
      </c>
      <c r="R53" s="25">
        <v>3</v>
      </c>
    </row>
    <row r="54" spans="1:18" x14ac:dyDescent="0.25">
      <c r="A54" s="21">
        <v>42181</v>
      </c>
      <c r="B54" s="21"/>
      <c r="C54" s="22" t="s">
        <v>75</v>
      </c>
      <c r="D54" s="23">
        <v>4</v>
      </c>
      <c r="E54" s="23">
        <v>12</v>
      </c>
      <c r="F54" s="38">
        <f t="shared" si="9"/>
        <v>0.33333333333333331</v>
      </c>
      <c r="G54" s="23">
        <v>0</v>
      </c>
      <c r="H54" s="23">
        <v>0</v>
      </c>
      <c r="I54" s="38">
        <f t="shared" si="10"/>
        <v>0</v>
      </c>
      <c r="J54" s="23">
        <v>1</v>
      </c>
      <c r="K54" s="23">
        <v>2</v>
      </c>
      <c r="L54" s="38">
        <f t="shared" si="11"/>
        <v>0.5</v>
      </c>
      <c r="M54" s="23">
        <v>6</v>
      </c>
      <c r="N54" s="23">
        <v>2</v>
      </c>
      <c r="O54" s="23">
        <v>1</v>
      </c>
      <c r="P54" s="23">
        <v>2</v>
      </c>
      <c r="Q54" s="23">
        <v>1</v>
      </c>
      <c r="R54" s="25">
        <v>9</v>
      </c>
    </row>
    <row r="55" spans="1:18" x14ac:dyDescent="0.25">
      <c r="A55" s="21">
        <v>42182</v>
      </c>
      <c r="B55" s="21"/>
      <c r="C55" s="22" t="s">
        <v>76</v>
      </c>
      <c r="D55" s="23">
        <v>4</v>
      </c>
      <c r="E55" s="23">
        <v>13</v>
      </c>
      <c r="F55" s="38">
        <f t="shared" ref="F55:F68" si="12">IF(E55=0,0,D55/E55)</f>
        <v>0.30769230769230771</v>
      </c>
      <c r="G55" s="23">
        <v>1</v>
      </c>
      <c r="H55" s="23">
        <v>4</v>
      </c>
      <c r="I55" s="38">
        <f t="shared" ref="I55:I68" si="13">IF(H55=0,0,G55/H55)</f>
        <v>0.25</v>
      </c>
      <c r="J55" s="23">
        <v>9</v>
      </c>
      <c r="K55" s="23">
        <v>10</v>
      </c>
      <c r="L55" s="38">
        <f t="shared" ref="L55:L68" si="14">IF(K55=0,0,J55/K55)</f>
        <v>0.9</v>
      </c>
      <c r="M55" s="23">
        <v>7</v>
      </c>
      <c r="N55" s="23">
        <v>4</v>
      </c>
      <c r="O55" s="23">
        <v>1</v>
      </c>
      <c r="P55" s="23">
        <v>2</v>
      </c>
      <c r="Q55" s="23">
        <v>2</v>
      </c>
      <c r="R55" s="25">
        <v>18</v>
      </c>
    </row>
    <row r="56" spans="1:18" x14ac:dyDescent="0.25">
      <c r="A56" s="21">
        <v>42182</v>
      </c>
      <c r="B56" s="21"/>
      <c r="C56" s="22" t="s">
        <v>94</v>
      </c>
      <c r="D56" s="23">
        <v>0</v>
      </c>
      <c r="E56" s="23">
        <v>1</v>
      </c>
      <c r="F56" s="38">
        <f t="shared" si="12"/>
        <v>0</v>
      </c>
      <c r="G56" s="23">
        <v>0</v>
      </c>
      <c r="H56" s="23">
        <v>0</v>
      </c>
      <c r="I56" s="38">
        <f t="shared" si="13"/>
        <v>0</v>
      </c>
      <c r="J56" s="23">
        <v>0</v>
      </c>
      <c r="K56" s="23">
        <v>0</v>
      </c>
      <c r="L56" s="38">
        <f t="shared" si="14"/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5">
        <v>0</v>
      </c>
    </row>
    <row r="57" spans="1:18" x14ac:dyDescent="0.25">
      <c r="A57" s="21">
        <v>42183</v>
      </c>
      <c r="B57" s="21"/>
      <c r="C57" s="22" t="s">
        <v>113</v>
      </c>
      <c r="D57" s="23">
        <v>0</v>
      </c>
      <c r="E57" s="23">
        <v>5</v>
      </c>
      <c r="F57" s="38">
        <f t="shared" si="12"/>
        <v>0</v>
      </c>
      <c r="G57" s="23">
        <v>0</v>
      </c>
      <c r="H57" s="23">
        <v>1</v>
      </c>
      <c r="I57" s="38">
        <f t="shared" si="13"/>
        <v>0</v>
      </c>
      <c r="J57" s="23">
        <v>0</v>
      </c>
      <c r="K57" s="23">
        <v>0</v>
      </c>
      <c r="L57" s="38">
        <f t="shared" si="14"/>
        <v>0</v>
      </c>
      <c r="M57" s="23">
        <v>0</v>
      </c>
      <c r="N57" s="23">
        <v>0</v>
      </c>
      <c r="O57" s="23">
        <v>0</v>
      </c>
      <c r="P57" s="23">
        <v>1</v>
      </c>
      <c r="Q57" s="23">
        <v>0</v>
      </c>
      <c r="R57" s="25">
        <v>0</v>
      </c>
    </row>
    <row r="58" spans="1:18" x14ac:dyDescent="0.25">
      <c r="A58" s="21">
        <v>42183</v>
      </c>
      <c r="B58" s="21"/>
      <c r="C58" s="22" t="s">
        <v>95</v>
      </c>
      <c r="D58" s="23">
        <v>2</v>
      </c>
      <c r="E58" s="23">
        <v>5</v>
      </c>
      <c r="F58" s="38">
        <f t="shared" si="12"/>
        <v>0.4</v>
      </c>
      <c r="G58" s="23">
        <v>0</v>
      </c>
      <c r="H58" s="23">
        <v>1</v>
      </c>
      <c r="I58" s="38">
        <f t="shared" si="13"/>
        <v>0</v>
      </c>
      <c r="J58" s="23">
        <v>0</v>
      </c>
      <c r="K58" s="23">
        <v>2</v>
      </c>
      <c r="L58" s="38">
        <f t="shared" si="14"/>
        <v>0</v>
      </c>
      <c r="M58" s="23">
        <v>2</v>
      </c>
      <c r="N58" s="23">
        <v>2</v>
      </c>
      <c r="O58" s="23">
        <v>0</v>
      </c>
      <c r="P58" s="23">
        <v>1</v>
      </c>
      <c r="Q58" s="23">
        <v>0</v>
      </c>
      <c r="R58" s="25">
        <v>4</v>
      </c>
    </row>
    <row r="59" spans="1:18" x14ac:dyDescent="0.25">
      <c r="A59" s="43">
        <v>42185</v>
      </c>
      <c r="B59" s="43"/>
      <c r="C59" s="47" t="s">
        <v>76</v>
      </c>
      <c r="D59" s="63">
        <v>5</v>
      </c>
      <c r="E59" s="63">
        <v>9</v>
      </c>
      <c r="F59" s="38">
        <f t="shared" si="12"/>
        <v>0.55555555555555558</v>
      </c>
      <c r="G59" s="63">
        <v>0</v>
      </c>
      <c r="H59" s="63">
        <v>2</v>
      </c>
      <c r="I59" s="38">
        <f t="shared" si="13"/>
        <v>0</v>
      </c>
      <c r="J59" s="63">
        <v>3</v>
      </c>
      <c r="K59" s="63">
        <v>3</v>
      </c>
      <c r="L59" s="38">
        <f t="shared" si="14"/>
        <v>1</v>
      </c>
      <c r="M59" s="63">
        <v>6</v>
      </c>
      <c r="N59" s="63">
        <v>7</v>
      </c>
      <c r="O59" s="63">
        <v>1</v>
      </c>
      <c r="P59" s="63">
        <v>1</v>
      </c>
      <c r="Q59" s="63">
        <v>1</v>
      </c>
      <c r="R59" s="64">
        <v>13</v>
      </c>
    </row>
    <row r="60" spans="1:18" x14ac:dyDescent="0.25">
      <c r="A60" s="21">
        <v>42185</v>
      </c>
      <c r="B60" s="21"/>
      <c r="C60" s="22" t="s">
        <v>77</v>
      </c>
      <c r="D60" s="23">
        <v>1</v>
      </c>
      <c r="E60" s="23">
        <v>4</v>
      </c>
      <c r="F60" s="38">
        <f t="shared" si="12"/>
        <v>0.25</v>
      </c>
      <c r="G60" s="23">
        <v>0</v>
      </c>
      <c r="H60" s="23">
        <v>0</v>
      </c>
      <c r="I60" s="38">
        <f t="shared" si="13"/>
        <v>0</v>
      </c>
      <c r="J60" s="23">
        <v>4</v>
      </c>
      <c r="K60" s="23">
        <v>4</v>
      </c>
      <c r="L60" s="38">
        <f t="shared" si="14"/>
        <v>1</v>
      </c>
      <c r="M60" s="23">
        <v>0</v>
      </c>
      <c r="N60" s="23">
        <v>7</v>
      </c>
      <c r="O60" s="23">
        <v>2</v>
      </c>
      <c r="P60" s="23">
        <v>2</v>
      </c>
      <c r="Q60" s="23">
        <v>0</v>
      </c>
      <c r="R60" s="25">
        <v>6</v>
      </c>
    </row>
    <row r="61" spans="1:18" x14ac:dyDescent="0.25">
      <c r="A61" s="21">
        <v>42185</v>
      </c>
      <c r="B61" s="21"/>
      <c r="C61" s="22" t="s">
        <v>75</v>
      </c>
      <c r="D61" s="23">
        <v>9</v>
      </c>
      <c r="E61" s="23">
        <v>15</v>
      </c>
      <c r="F61" s="38">
        <f t="shared" si="12"/>
        <v>0.6</v>
      </c>
      <c r="G61" s="23">
        <v>0</v>
      </c>
      <c r="H61" s="23">
        <v>0</v>
      </c>
      <c r="I61" s="38">
        <f t="shared" si="13"/>
        <v>0</v>
      </c>
      <c r="J61" s="23">
        <v>3</v>
      </c>
      <c r="K61" s="23">
        <v>6</v>
      </c>
      <c r="L61" s="38">
        <f t="shared" si="14"/>
        <v>0.5</v>
      </c>
      <c r="M61" s="23">
        <v>4</v>
      </c>
      <c r="N61" s="23">
        <v>3</v>
      </c>
      <c r="O61" s="23">
        <v>1</v>
      </c>
      <c r="P61" s="23">
        <v>0</v>
      </c>
      <c r="Q61" s="23">
        <v>0</v>
      </c>
      <c r="R61" s="25">
        <v>21</v>
      </c>
    </row>
    <row r="62" spans="1:18" x14ac:dyDescent="0.25">
      <c r="A62" s="21">
        <v>42185</v>
      </c>
      <c r="B62" s="21"/>
      <c r="C62" s="22" t="s">
        <v>95</v>
      </c>
      <c r="D62" s="23">
        <v>2</v>
      </c>
      <c r="E62" s="23">
        <v>3</v>
      </c>
      <c r="F62" s="38">
        <f t="shared" si="12"/>
        <v>0.66666666666666663</v>
      </c>
      <c r="G62" s="23">
        <v>0</v>
      </c>
      <c r="H62" s="23">
        <v>1</v>
      </c>
      <c r="I62" s="38">
        <f t="shared" si="13"/>
        <v>0</v>
      </c>
      <c r="J62" s="23">
        <v>2</v>
      </c>
      <c r="K62" s="23">
        <v>2</v>
      </c>
      <c r="L62" s="38">
        <f t="shared" si="14"/>
        <v>1</v>
      </c>
      <c r="M62" s="23">
        <v>3</v>
      </c>
      <c r="N62" s="23">
        <v>2</v>
      </c>
      <c r="O62" s="23">
        <v>0</v>
      </c>
      <c r="P62" s="23">
        <v>1</v>
      </c>
      <c r="Q62" s="23">
        <v>0</v>
      </c>
      <c r="R62" s="25">
        <v>6</v>
      </c>
    </row>
    <row r="63" spans="1:18" x14ac:dyDescent="0.25">
      <c r="A63" s="21">
        <v>42187</v>
      </c>
      <c r="B63" s="21"/>
      <c r="C63" s="22" t="s">
        <v>77</v>
      </c>
      <c r="D63" s="23">
        <v>3</v>
      </c>
      <c r="E63" s="23">
        <v>5</v>
      </c>
      <c r="F63" s="38">
        <f t="shared" si="12"/>
        <v>0.6</v>
      </c>
      <c r="G63" s="23">
        <v>0</v>
      </c>
      <c r="H63" s="23">
        <v>0</v>
      </c>
      <c r="I63" s="38">
        <f t="shared" si="13"/>
        <v>0</v>
      </c>
      <c r="J63" s="23">
        <v>1</v>
      </c>
      <c r="K63" s="23">
        <v>1</v>
      </c>
      <c r="L63" s="38">
        <f t="shared" si="14"/>
        <v>1</v>
      </c>
      <c r="M63" s="23">
        <v>1</v>
      </c>
      <c r="N63" s="23">
        <v>2</v>
      </c>
      <c r="O63" s="23">
        <v>0</v>
      </c>
      <c r="P63" s="23">
        <v>1</v>
      </c>
      <c r="Q63" s="23">
        <v>0</v>
      </c>
      <c r="R63" s="25">
        <v>7</v>
      </c>
    </row>
    <row r="64" spans="1:18" x14ac:dyDescent="0.25">
      <c r="A64" s="21">
        <v>42187</v>
      </c>
      <c r="B64" s="21"/>
      <c r="C64" s="22" t="s">
        <v>76</v>
      </c>
      <c r="D64" s="23">
        <v>4</v>
      </c>
      <c r="E64" s="23">
        <v>7</v>
      </c>
      <c r="F64" s="38">
        <f t="shared" si="12"/>
        <v>0.5714285714285714</v>
      </c>
      <c r="G64" s="23">
        <v>0</v>
      </c>
      <c r="H64" s="23">
        <v>1</v>
      </c>
      <c r="I64" s="38">
        <f t="shared" si="13"/>
        <v>0</v>
      </c>
      <c r="J64" s="23">
        <v>3</v>
      </c>
      <c r="K64" s="23">
        <v>3</v>
      </c>
      <c r="L64" s="38">
        <f t="shared" si="14"/>
        <v>1</v>
      </c>
      <c r="M64" s="23">
        <v>2</v>
      </c>
      <c r="N64" s="23">
        <v>4</v>
      </c>
      <c r="O64" s="23">
        <v>1</v>
      </c>
      <c r="P64" s="23">
        <v>2</v>
      </c>
      <c r="Q64" s="23">
        <v>0</v>
      </c>
      <c r="R64" s="25">
        <v>11</v>
      </c>
    </row>
    <row r="65" spans="1:18" x14ac:dyDescent="0.25">
      <c r="A65" s="14">
        <v>42187</v>
      </c>
      <c r="B65" s="14"/>
      <c r="C65" s="52" t="s">
        <v>126</v>
      </c>
      <c r="D65" s="53">
        <v>2</v>
      </c>
      <c r="E65" s="53">
        <v>7</v>
      </c>
      <c r="F65" s="24">
        <f t="shared" si="12"/>
        <v>0.2857142857142857</v>
      </c>
      <c r="G65" s="53">
        <v>0</v>
      </c>
      <c r="H65" s="53">
        <v>3</v>
      </c>
      <c r="I65" s="24">
        <f t="shared" si="13"/>
        <v>0</v>
      </c>
      <c r="J65" s="53">
        <v>0</v>
      </c>
      <c r="K65" s="53">
        <v>0</v>
      </c>
      <c r="L65" s="24">
        <f t="shared" si="14"/>
        <v>0</v>
      </c>
      <c r="M65" s="53">
        <v>3</v>
      </c>
      <c r="N65" s="53">
        <v>3</v>
      </c>
      <c r="O65" s="53">
        <v>2</v>
      </c>
      <c r="P65" s="53">
        <v>5</v>
      </c>
      <c r="Q65" s="53">
        <v>0</v>
      </c>
      <c r="R65" s="54">
        <v>4</v>
      </c>
    </row>
    <row r="66" spans="1:18" x14ac:dyDescent="0.25">
      <c r="A66" s="21">
        <v>42190</v>
      </c>
      <c r="B66" s="21"/>
      <c r="C66" s="22" t="s">
        <v>76</v>
      </c>
      <c r="D66" s="23">
        <v>7</v>
      </c>
      <c r="E66" s="23">
        <v>10</v>
      </c>
      <c r="F66" s="38">
        <f t="shared" si="12"/>
        <v>0.7</v>
      </c>
      <c r="G66" s="23">
        <v>4</v>
      </c>
      <c r="H66" s="23">
        <v>6</v>
      </c>
      <c r="I66" s="38">
        <f t="shared" si="13"/>
        <v>0.66666666666666663</v>
      </c>
      <c r="J66" s="23">
        <v>4</v>
      </c>
      <c r="K66" s="23">
        <v>4</v>
      </c>
      <c r="L66" s="38">
        <f t="shared" si="14"/>
        <v>1</v>
      </c>
      <c r="M66" s="23">
        <v>5</v>
      </c>
      <c r="N66" s="23">
        <v>1</v>
      </c>
      <c r="O66" s="23">
        <v>0</v>
      </c>
      <c r="P66" s="23">
        <v>1</v>
      </c>
      <c r="Q66" s="23">
        <v>1</v>
      </c>
      <c r="R66" s="25">
        <v>22</v>
      </c>
    </row>
    <row r="67" spans="1:18" x14ac:dyDescent="0.25">
      <c r="A67" s="21">
        <v>42190</v>
      </c>
      <c r="B67" s="21"/>
      <c r="C67" s="22" t="s">
        <v>138</v>
      </c>
      <c r="D67" s="23">
        <v>3</v>
      </c>
      <c r="E67" s="23">
        <v>7</v>
      </c>
      <c r="F67" s="38">
        <f t="shared" si="12"/>
        <v>0.42857142857142855</v>
      </c>
      <c r="G67" s="23">
        <v>0</v>
      </c>
      <c r="H67" s="23">
        <v>0</v>
      </c>
      <c r="I67" s="38">
        <f t="shared" si="13"/>
        <v>0</v>
      </c>
      <c r="J67" s="23">
        <v>2</v>
      </c>
      <c r="K67" s="23">
        <v>2</v>
      </c>
      <c r="L67" s="38">
        <f t="shared" si="14"/>
        <v>1</v>
      </c>
      <c r="M67" s="23">
        <v>2</v>
      </c>
      <c r="N67" s="23">
        <v>1</v>
      </c>
      <c r="O67" s="23">
        <v>2</v>
      </c>
      <c r="P67" s="23">
        <v>3</v>
      </c>
      <c r="Q67" s="23">
        <v>0</v>
      </c>
      <c r="R67" s="25">
        <v>8</v>
      </c>
    </row>
    <row r="68" spans="1:18" x14ac:dyDescent="0.25">
      <c r="A68" s="21">
        <v>42190</v>
      </c>
      <c r="B68" s="21"/>
      <c r="C68" s="22" t="s">
        <v>74</v>
      </c>
      <c r="D68" s="23">
        <v>8</v>
      </c>
      <c r="E68" s="23">
        <v>17</v>
      </c>
      <c r="F68" s="38">
        <f t="shared" si="12"/>
        <v>0.47058823529411764</v>
      </c>
      <c r="G68" s="23">
        <v>3</v>
      </c>
      <c r="H68" s="23">
        <v>5</v>
      </c>
      <c r="I68" s="38">
        <f t="shared" si="13"/>
        <v>0.6</v>
      </c>
      <c r="J68" s="23">
        <v>4</v>
      </c>
      <c r="K68" s="23">
        <v>6</v>
      </c>
      <c r="L68" s="38">
        <f t="shared" si="14"/>
        <v>0.66666666666666663</v>
      </c>
      <c r="M68" s="23">
        <v>3</v>
      </c>
      <c r="N68" s="23">
        <v>4</v>
      </c>
      <c r="O68" s="23">
        <v>2</v>
      </c>
      <c r="P68" s="23">
        <v>1</v>
      </c>
      <c r="Q68" s="23">
        <v>1</v>
      </c>
      <c r="R68" s="25">
        <v>23</v>
      </c>
    </row>
    <row r="69" spans="1:18" x14ac:dyDescent="0.25">
      <c r="A69" s="21">
        <v>42192</v>
      </c>
      <c r="B69" s="21"/>
      <c r="C69" s="22" t="s">
        <v>74</v>
      </c>
      <c r="D69" s="23">
        <v>8</v>
      </c>
      <c r="E69" s="23">
        <v>28</v>
      </c>
      <c r="F69" s="38">
        <f t="shared" ref="F69:F74" si="15">IF(E69=0,0,D69/E69)</f>
        <v>0.2857142857142857</v>
      </c>
      <c r="G69" s="23">
        <v>1</v>
      </c>
      <c r="H69" s="23">
        <v>2</v>
      </c>
      <c r="I69" s="38">
        <f t="shared" ref="I69:I74" si="16">IF(H69=0,0,G69/H69)</f>
        <v>0.5</v>
      </c>
      <c r="J69" s="23">
        <v>8</v>
      </c>
      <c r="K69" s="23">
        <v>11</v>
      </c>
      <c r="L69" s="38">
        <f t="shared" ref="L69:L74" si="17">IF(K69=0,0,J69/K69)</f>
        <v>0.72727272727272729</v>
      </c>
      <c r="M69" s="23">
        <v>9</v>
      </c>
      <c r="N69" s="23">
        <v>3</v>
      </c>
      <c r="O69" s="23">
        <v>1</v>
      </c>
      <c r="P69" s="23">
        <v>3</v>
      </c>
      <c r="Q69" s="23">
        <v>1</v>
      </c>
      <c r="R69" s="25">
        <v>25</v>
      </c>
    </row>
    <row r="70" spans="1:18" x14ac:dyDescent="0.25">
      <c r="A70" s="21">
        <v>42192</v>
      </c>
      <c r="B70" s="21"/>
      <c r="C70" s="22" t="s">
        <v>138</v>
      </c>
      <c r="D70" s="23">
        <v>1</v>
      </c>
      <c r="E70" s="23">
        <v>2</v>
      </c>
      <c r="F70" s="38">
        <f t="shared" si="15"/>
        <v>0.5</v>
      </c>
      <c r="G70" s="23">
        <v>0</v>
      </c>
      <c r="H70" s="23">
        <v>1</v>
      </c>
      <c r="I70" s="38">
        <f t="shared" si="16"/>
        <v>0</v>
      </c>
      <c r="J70" s="23">
        <v>1</v>
      </c>
      <c r="K70" s="23">
        <v>2</v>
      </c>
      <c r="L70" s="38">
        <f t="shared" si="17"/>
        <v>0.5</v>
      </c>
      <c r="M70" s="23">
        <v>6</v>
      </c>
      <c r="N70" s="23">
        <v>4</v>
      </c>
      <c r="O70" s="23">
        <v>3</v>
      </c>
      <c r="P70" s="23">
        <v>2</v>
      </c>
      <c r="Q70" s="23">
        <v>1</v>
      </c>
      <c r="R70" s="25">
        <v>3</v>
      </c>
    </row>
    <row r="71" spans="1:18" x14ac:dyDescent="0.25">
      <c r="A71" s="21">
        <v>42193</v>
      </c>
      <c r="B71" s="21"/>
      <c r="C71" s="22" t="s">
        <v>77</v>
      </c>
      <c r="D71" s="23">
        <v>3</v>
      </c>
      <c r="E71" s="23">
        <v>5</v>
      </c>
      <c r="F71" s="38">
        <f t="shared" si="15"/>
        <v>0.6</v>
      </c>
      <c r="G71" s="23">
        <v>0</v>
      </c>
      <c r="H71" s="23">
        <v>1</v>
      </c>
      <c r="I71" s="38">
        <f t="shared" si="16"/>
        <v>0</v>
      </c>
      <c r="J71" s="23">
        <v>0</v>
      </c>
      <c r="K71" s="23">
        <v>0</v>
      </c>
      <c r="L71" s="38">
        <f t="shared" si="17"/>
        <v>0</v>
      </c>
      <c r="M71" s="23">
        <v>0</v>
      </c>
      <c r="N71" s="23">
        <v>2</v>
      </c>
      <c r="O71" s="23">
        <v>1</v>
      </c>
      <c r="P71" s="23">
        <v>3</v>
      </c>
      <c r="Q71" s="23">
        <v>0</v>
      </c>
      <c r="R71" s="25">
        <v>6</v>
      </c>
    </row>
    <row r="72" spans="1:18" x14ac:dyDescent="0.25">
      <c r="A72" s="21">
        <v>42194</v>
      </c>
      <c r="B72" s="21"/>
      <c r="C72" s="22" t="s">
        <v>95</v>
      </c>
      <c r="D72" s="23">
        <v>0</v>
      </c>
      <c r="E72" s="23">
        <v>0</v>
      </c>
      <c r="F72" s="38">
        <f t="shared" si="15"/>
        <v>0</v>
      </c>
      <c r="G72" s="23">
        <v>0</v>
      </c>
      <c r="H72" s="23">
        <v>0</v>
      </c>
      <c r="I72" s="38">
        <f t="shared" si="16"/>
        <v>0</v>
      </c>
      <c r="J72" s="23">
        <v>0</v>
      </c>
      <c r="K72" s="23">
        <v>0</v>
      </c>
      <c r="L72" s="38">
        <f t="shared" si="17"/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5">
        <v>0</v>
      </c>
    </row>
    <row r="73" spans="1:18" x14ac:dyDescent="0.25">
      <c r="A73" s="21">
        <v>42195</v>
      </c>
      <c r="B73" s="21"/>
      <c r="C73" s="22" t="s">
        <v>77</v>
      </c>
      <c r="D73" s="23">
        <v>1</v>
      </c>
      <c r="E73" s="23">
        <v>3</v>
      </c>
      <c r="F73" s="38">
        <f t="shared" si="15"/>
        <v>0.33333333333333331</v>
      </c>
      <c r="G73" s="23">
        <v>0</v>
      </c>
      <c r="H73" s="23">
        <v>0</v>
      </c>
      <c r="I73" s="38">
        <f t="shared" si="16"/>
        <v>0</v>
      </c>
      <c r="J73" s="23">
        <v>0</v>
      </c>
      <c r="K73" s="23">
        <v>0</v>
      </c>
      <c r="L73" s="38">
        <f t="shared" si="17"/>
        <v>0</v>
      </c>
      <c r="M73" s="23">
        <v>2</v>
      </c>
      <c r="N73" s="23">
        <v>4</v>
      </c>
      <c r="O73" s="23">
        <v>1</v>
      </c>
      <c r="P73" s="23">
        <v>3</v>
      </c>
      <c r="Q73" s="23">
        <v>0</v>
      </c>
      <c r="R73" s="25">
        <v>2</v>
      </c>
    </row>
    <row r="74" spans="1:18" x14ac:dyDescent="0.25">
      <c r="A74" s="21">
        <v>42195</v>
      </c>
      <c r="B74" s="21"/>
      <c r="C74" s="22" t="s">
        <v>76</v>
      </c>
      <c r="D74" s="23">
        <v>5</v>
      </c>
      <c r="E74" s="23">
        <v>13</v>
      </c>
      <c r="F74" s="38">
        <f t="shared" si="15"/>
        <v>0.38461538461538464</v>
      </c>
      <c r="G74" s="23">
        <v>1</v>
      </c>
      <c r="H74" s="23">
        <v>4</v>
      </c>
      <c r="I74" s="38">
        <f t="shared" si="16"/>
        <v>0.25</v>
      </c>
      <c r="J74" s="23">
        <v>4</v>
      </c>
      <c r="K74" s="23">
        <v>5</v>
      </c>
      <c r="L74" s="38">
        <f t="shared" si="17"/>
        <v>0.8</v>
      </c>
      <c r="M74" s="23">
        <v>7</v>
      </c>
      <c r="N74" s="23">
        <v>3</v>
      </c>
      <c r="O74" s="23">
        <v>3</v>
      </c>
      <c r="P74" s="23">
        <v>1</v>
      </c>
      <c r="Q74" s="23">
        <v>1</v>
      </c>
      <c r="R74" s="25">
        <v>15</v>
      </c>
    </row>
    <row r="75" spans="1:18" x14ac:dyDescent="0.25">
      <c r="A75" s="21">
        <v>42197</v>
      </c>
      <c r="B75" s="21"/>
      <c r="C75" s="22" t="s">
        <v>74</v>
      </c>
      <c r="D75" s="23">
        <v>9</v>
      </c>
      <c r="E75" s="23">
        <v>12</v>
      </c>
      <c r="F75" s="38">
        <f t="shared" ref="F75:F97" si="18">IF(E75=0,0,D75/E75)</f>
        <v>0.75</v>
      </c>
      <c r="G75" s="23">
        <v>2</v>
      </c>
      <c r="H75" s="23">
        <v>2</v>
      </c>
      <c r="I75" s="38">
        <f t="shared" ref="I75:I97" si="19">IF(H75=0,0,G75/H75)</f>
        <v>1</v>
      </c>
      <c r="J75" s="23">
        <v>12</v>
      </c>
      <c r="K75" s="23">
        <v>19</v>
      </c>
      <c r="L75" s="38">
        <f t="shared" ref="L75:L97" si="20">IF(K75=0,0,J75/K75)</f>
        <v>0.63157894736842102</v>
      </c>
      <c r="M75" s="23">
        <v>4</v>
      </c>
      <c r="N75" s="23">
        <v>6</v>
      </c>
      <c r="O75" s="23">
        <v>2</v>
      </c>
      <c r="P75" s="23">
        <v>2</v>
      </c>
      <c r="Q75" s="23">
        <v>1</v>
      </c>
      <c r="R75" s="25">
        <v>32</v>
      </c>
    </row>
    <row r="76" spans="1:18" x14ac:dyDescent="0.25">
      <c r="A76" s="21">
        <v>42197</v>
      </c>
      <c r="B76" s="21"/>
      <c r="C76" s="22" t="s">
        <v>76</v>
      </c>
      <c r="D76" s="23">
        <v>4</v>
      </c>
      <c r="E76" s="23">
        <v>9</v>
      </c>
      <c r="F76" s="38">
        <f t="shared" si="18"/>
        <v>0.44444444444444442</v>
      </c>
      <c r="G76" s="23">
        <v>1</v>
      </c>
      <c r="H76" s="23">
        <v>4</v>
      </c>
      <c r="I76" s="38">
        <f t="shared" si="19"/>
        <v>0.25</v>
      </c>
      <c r="J76" s="23">
        <v>2</v>
      </c>
      <c r="K76" s="23">
        <v>2</v>
      </c>
      <c r="L76" s="38">
        <f t="shared" si="20"/>
        <v>1</v>
      </c>
      <c r="M76" s="23">
        <v>6</v>
      </c>
      <c r="N76" s="23">
        <v>5</v>
      </c>
      <c r="O76" s="23">
        <v>1</v>
      </c>
      <c r="P76" s="23">
        <v>3</v>
      </c>
      <c r="Q76" s="23">
        <v>0</v>
      </c>
      <c r="R76" s="25">
        <v>11</v>
      </c>
    </row>
    <row r="77" spans="1:18" x14ac:dyDescent="0.25">
      <c r="A77" s="21">
        <v>42197</v>
      </c>
      <c r="B77" s="21"/>
      <c r="C77" s="22" t="s">
        <v>109</v>
      </c>
      <c r="D77" s="23">
        <v>2</v>
      </c>
      <c r="E77" s="23">
        <v>8</v>
      </c>
      <c r="F77" s="38">
        <f t="shared" si="18"/>
        <v>0.25</v>
      </c>
      <c r="G77" s="23">
        <v>0</v>
      </c>
      <c r="H77" s="23">
        <v>3</v>
      </c>
      <c r="I77" s="38">
        <f t="shared" si="19"/>
        <v>0</v>
      </c>
      <c r="J77" s="23">
        <v>0</v>
      </c>
      <c r="K77" s="23">
        <v>0</v>
      </c>
      <c r="L77" s="38">
        <f t="shared" si="20"/>
        <v>0</v>
      </c>
      <c r="M77" s="23">
        <v>3</v>
      </c>
      <c r="N77" s="23">
        <v>4</v>
      </c>
      <c r="O77" s="23">
        <v>3</v>
      </c>
      <c r="P77" s="23">
        <v>2</v>
      </c>
      <c r="Q77" s="23">
        <v>1</v>
      </c>
      <c r="R77" s="25">
        <v>4</v>
      </c>
    </row>
    <row r="78" spans="1:18" x14ac:dyDescent="0.25">
      <c r="A78" s="21">
        <v>42197</v>
      </c>
      <c r="B78" s="21"/>
      <c r="C78" s="22" t="s">
        <v>95</v>
      </c>
      <c r="D78" s="23">
        <v>3</v>
      </c>
      <c r="E78" s="23">
        <v>4</v>
      </c>
      <c r="F78" s="38">
        <f t="shared" si="18"/>
        <v>0.75</v>
      </c>
      <c r="G78" s="23">
        <v>1</v>
      </c>
      <c r="H78" s="23">
        <v>1</v>
      </c>
      <c r="I78" s="38">
        <f t="shared" si="19"/>
        <v>1</v>
      </c>
      <c r="J78" s="23">
        <v>3</v>
      </c>
      <c r="K78" s="23">
        <v>10</v>
      </c>
      <c r="L78" s="38">
        <f t="shared" si="20"/>
        <v>0.3</v>
      </c>
      <c r="M78" s="23">
        <v>5</v>
      </c>
      <c r="N78" s="23">
        <v>2</v>
      </c>
      <c r="O78" s="23">
        <v>2</v>
      </c>
      <c r="P78" s="23">
        <v>1</v>
      </c>
      <c r="Q78" s="23">
        <v>0</v>
      </c>
      <c r="R78" s="25">
        <v>10</v>
      </c>
    </row>
    <row r="79" spans="1:18" x14ac:dyDescent="0.25">
      <c r="A79" s="21">
        <v>42197</v>
      </c>
      <c r="B79" s="21"/>
      <c r="C79" s="22" t="s">
        <v>75</v>
      </c>
      <c r="D79" s="23">
        <v>6</v>
      </c>
      <c r="E79" s="23">
        <v>12</v>
      </c>
      <c r="F79" s="38">
        <f t="shared" si="18"/>
        <v>0.5</v>
      </c>
      <c r="G79" s="23">
        <v>0</v>
      </c>
      <c r="H79" s="23">
        <v>0</v>
      </c>
      <c r="I79" s="38">
        <f t="shared" si="19"/>
        <v>0</v>
      </c>
      <c r="J79" s="23">
        <v>6</v>
      </c>
      <c r="K79" s="23">
        <v>8</v>
      </c>
      <c r="L79" s="38">
        <f t="shared" si="20"/>
        <v>0.75</v>
      </c>
      <c r="M79" s="23">
        <v>3</v>
      </c>
      <c r="N79" s="23">
        <v>2</v>
      </c>
      <c r="O79" s="23">
        <v>0</v>
      </c>
      <c r="P79" s="23">
        <v>4</v>
      </c>
      <c r="Q79" s="23">
        <v>0</v>
      </c>
      <c r="R79" s="25">
        <v>18</v>
      </c>
    </row>
    <row r="80" spans="1:18" x14ac:dyDescent="0.25">
      <c r="A80" s="21">
        <v>42199</v>
      </c>
      <c r="B80" s="21"/>
      <c r="C80" s="22" t="s">
        <v>75</v>
      </c>
      <c r="D80" s="23">
        <v>5</v>
      </c>
      <c r="E80" s="23">
        <v>8</v>
      </c>
      <c r="F80" s="38">
        <f t="shared" si="18"/>
        <v>0.625</v>
      </c>
      <c r="G80" s="23">
        <v>0</v>
      </c>
      <c r="H80" s="23">
        <v>0</v>
      </c>
      <c r="I80" s="38">
        <f t="shared" si="19"/>
        <v>0</v>
      </c>
      <c r="J80" s="23">
        <v>3</v>
      </c>
      <c r="K80" s="23">
        <v>4</v>
      </c>
      <c r="L80" s="38">
        <f t="shared" si="20"/>
        <v>0.75</v>
      </c>
      <c r="M80" s="23">
        <v>8</v>
      </c>
      <c r="N80" s="23">
        <v>1</v>
      </c>
      <c r="O80" s="23">
        <v>1</v>
      </c>
      <c r="P80" s="23">
        <v>2</v>
      </c>
      <c r="Q80" s="23">
        <v>0</v>
      </c>
      <c r="R80" s="25">
        <v>13</v>
      </c>
    </row>
    <row r="81" spans="1:18" x14ac:dyDescent="0.25">
      <c r="A81" s="21">
        <v>42199</v>
      </c>
      <c r="B81" s="21"/>
      <c r="C81" s="22" t="s">
        <v>109</v>
      </c>
      <c r="D81" s="23">
        <v>2</v>
      </c>
      <c r="E81" s="23">
        <v>6</v>
      </c>
      <c r="F81" s="38">
        <f t="shared" si="18"/>
        <v>0.33333333333333331</v>
      </c>
      <c r="G81" s="23">
        <v>1</v>
      </c>
      <c r="H81" s="23">
        <v>2</v>
      </c>
      <c r="I81" s="38">
        <f t="shared" si="19"/>
        <v>0.5</v>
      </c>
      <c r="J81" s="23">
        <v>0</v>
      </c>
      <c r="K81" s="23">
        <v>0</v>
      </c>
      <c r="L81" s="38">
        <f t="shared" si="20"/>
        <v>0</v>
      </c>
      <c r="M81" s="23">
        <v>6</v>
      </c>
      <c r="N81" s="23">
        <v>3</v>
      </c>
      <c r="O81" s="23">
        <v>1</v>
      </c>
      <c r="P81" s="23">
        <v>3</v>
      </c>
      <c r="Q81" s="23">
        <v>0</v>
      </c>
      <c r="R81" s="25">
        <v>5</v>
      </c>
    </row>
    <row r="82" spans="1:18" x14ac:dyDescent="0.25">
      <c r="A82" s="21">
        <v>42199</v>
      </c>
      <c r="B82" s="21"/>
      <c r="C82" s="22" t="s">
        <v>74</v>
      </c>
      <c r="D82" s="23">
        <v>3</v>
      </c>
      <c r="E82" s="23">
        <v>20</v>
      </c>
      <c r="F82" s="38">
        <f t="shared" si="18"/>
        <v>0.15</v>
      </c>
      <c r="G82" s="23">
        <v>3</v>
      </c>
      <c r="H82" s="23">
        <v>6</v>
      </c>
      <c r="I82" s="38">
        <f t="shared" si="19"/>
        <v>0.5</v>
      </c>
      <c r="J82" s="23">
        <v>2</v>
      </c>
      <c r="K82" s="23">
        <v>2</v>
      </c>
      <c r="L82" s="38">
        <f t="shared" si="20"/>
        <v>1</v>
      </c>
      <c r="M82" s="23">
        <v>4</v>
      </c>
      <c r="N82" s="23">
        <v>3</v>
      </c>
      <c r="O82" s="23">
        <v>1</v>
      </c>
      <c r="P82" s="23">
        <v>2</v>
      </c>
      <c r="Q82" s="23">
        <v>2</v>
      </c>
      <c r="R82" s="25">
        <v>11</v>
      </c>
    </row>
    <row r="83" spans="1:18" x14ac:dyDescent="0.25">
      <c r="A83" s="21">
        <v>42199</v>
      </c>
      <c r="B83" s="20"/>
      <c r="C83" s="15" t="s">
        <v>76</v>
      </c>
      <c r="D83" s="16">
        <v>4</v>
      </c>
      <c r="E83" s="16">
        <v>11</v>
      </c>
      <c r="F83" s="56">
        <f t="shared" si="18"/>
        <v>0.36363636363636365</v>
      </c>
      <c r="G83" s="16">
        <v>0</v>
      </c>
      <c r="H83" s="16">
        <v>0</v>
      </c>
      <c r="I83" s="56">
        <f t="shared" si="19"/>
        <v>0</v>
      </c>
      <c r="J83" s="16">
        <v>10</v>
      </c>
      <c r="K83" s="16">
        <v>10</v>
      </c>
      <c r="L83" s="56">
        <f t="shared" si="20"/>
        <v>1</v>
      </c>
      <c r="M83" s="16">
        <v>8</v>
      </c>
      <c r="N83" s="16">
        <v>3</v>
      </c>
      <c r="O83" s="16">
        <v>1</v>
      </c>
      <c r="P83" s="16">
        <v>3</v>
      </c>
      <c r="Q83" s="16">
        <v>1</v>
      </c>
      <c r="R83" s="16">
        <v>18</v>
      </c>
    </row>
    <row r="84" spans="1:18" x14ac:dyDescent="0.25">
      <c r="A84" s="21">
        <v>42200</v>
      </c>
      <c r="B84" s="20"/>
      <c r="C84" s="15" t="s">
        <v>134</v>
      </c>
      <c r="D84" s="16">
        <v>0</v>
      </c>
      <c r="E84" s="16">
        <v>1</v>
      </c>
      <c r="F84" s="56">
        <f t="shared" si="18"/>
        <v>0</v>
      </c>
      <c r="G84" s="16">
        <v>0</v>
      </c>
      <c r="H84" s="16">
        <v>0</v>
      </c>
      <c r="I84" s="56">
        <f t="shared" si="19"/>
        <v>0</v>
      </c>
      <c r="J84" s="16">
        <v>0</v>
      </c>
      <c r="K84" s="16">
        <v>0</v>
      </c>
      <c r="L84" s="56">
        <f t="shared" si="20"/>
        <v>0</v>
      </c>
      <c r="M84" s="16">
        <v>1</v>
      </c>
      <c r="N84" s="16">
        <v>2</v>
      </c>
      <c r="O84" s="16">
        <v>0</v>
      </c>
      <c r="P84" s="16">
        <v>1</v>
      </c>
      <c r="Q84" s="16">
        <v>0</v>
      </c>
      <c r="R84" s="16">
        <v>0</v>
      </c>
    </row>
    <row r="85" spans="1:18" x14ac:dyDescent="0.25">
      <c r="A85" s="21">
        <v>42200</v>
      </c>
      <c r="B85" s="20"/>
      <c r="C85" s="15" t="s">
        <v>77</v>
      </c>
      <c r="D85" s="16">
        <v>4</v>
      </c>
      <c r="E85" s="16">
        <v>6</v>
      </c>
      <c r="F85" s="56">
        <f t="shared" si="18"/>
        <v>0.66666666666666663</v>
      </c>
      <c r="G85" s="16">
        <v>1</v>
      </c>
      <c r="H85" s="16">
        <v>1</v>
      </c>
      <c r="I85" s="56">
        <f t="shared" si="19"/>
        <v>1</v>
      </c>
      <c r="J85" s="16">
        <v>0</v>
      </c>
      <c r="K85" s="16">
        <v>0</v>
      </c>
      <c r="L85" s="56">
        <f t="shared" si="20"/>
        <v>0</v>
      </c>
      <c r="M85" s="16">
        <v>1</v>
      </c>
      <c r="N85" s="16">
        <v>1</v>
      </c>
      <c r="O85" s="16">
        <v>1</v>
      </c>
      <c r="P85" s="16">
        <v>2</v>
      </c>
      <c r="Q85" s="16">
        <v>2</v>
      </c>
      <c r="R85" s="16">
        <v>9</v>
      </c>
    </row>
    <row r="86" spans="1:18" x14ac:dyDescent="0.25">
      <c r="A86" s="21">
        <v>42200</v>
      </c>
      <c r="B86" s="20"/>
      <c r="C86" s="15" t="s">
        <v>95</v>
      </c>
      <c r="D86" s="16">
        <v>1</v>
      </c>
      <c r="E86" s="16">
        <v>4</v>
      </c>
      <c r="F86" s="56">
        <f t="shared" si="18"/>
        <v>0.25</v>
      </c>
      <c r="G86" s="16">
        <v>0</v>
      </c>
      <c r="H86" s="16">
        <v>0</v>
      </c>
      <c r="I86" s="56">
        <f t="shared" si="19"/>
        <v>0</v>
      </c>
      <c r="J86" s="16">
        <v>2</v>
      </c>
      <c r="K86" s="16">
        <v>2</v>
      </c>
      <c r="L86" s="56">
        <f t="shared" si="20"/>
        <v>1</v>
      </c>
      <c r="M86" s="16">
        <v>2</v>
      </c>
      <c r="N86" s="16">
        <v>2</v>
      </c>
      <c r="O86" s="16">
        <v>2</v>
      </c>
      <c r="P86" s="16">
        <v>2</v>
      </c>
      <c r="Q86" s="16">
        <v>0</v>
      </c>
      <c r="R86" s="16">
        <v>4</v>
      </c>
    </row>
    <row r="87" spans="1:18" x14ac:dyDescent="0.25">
      <c r="A87" s="61">
        <v>42201</v>
      </c>
      <c r="B87" s="60"/>
      <c r="C87" s="59" t="s">
        <v>74</v>
      </c>
      <c r="D87" s="57">
        <v>5</v>
      </c>
      <c r="E87" s="57">
        <v>20</v>
      </c>
      <c r="F87" s="58">
        <f t="shared" si="18"/>
        <v>0.25</v>
      </c>
      <c r="G87" s="57">
        <v>0</v>
      </c>
      <c r="H87" s="57">
        <v>2</v>
      </c>
      <c r="I87" s="58">
        <f t="shared" si="19"/>
        <v>0</v>
      </c>
      <c r="J87" s="57">
        <v>12</v>
      </c>
      <c r="K87" s="57">
        <v>13</v>
      </c>
      <c r="L87" s="58">
        <f t="shared" si="20"/>
        <v>0.92307692307692313</v>
      </c>
      <c r="M87" s="57">
        <v>5</v>
      </c>
      <c r="N87" s="57">
        <v>3</v>
      </c>
      <c r="O87" s="57">
        <v>2</v>
      </c>
      <c r="P87" s="57">
        <v>3</v>
      </c>
      <c r="Q87" s="57">
        <v>0</v>
      </c>
      <c r="R87" s="57">
        <v>22</v>
      </c>
    </row>
    <row r="88" spans="1:18" x14ac:dyDescent="0.25">
      <c r="A88" s="61">
        <v>42201</v>
      </c>
      <c r="B88" s="60"/>
      <c r="C88" s="59" t="s">
        <v>75</v>
      </c>
      <c r="D88" s="57">
        <v>5</v>
      </c>
      <c r="E88" s="57">
        <v>16</v>
      </c>
      <c r="F88" s="58">
        <f t="shared" si="18"/>
        <v>0.3125</v>
      </c>
      <c r="G88" s="57">
        <v>0</v>
      </c>
      <c r="H88" s="57">
        <v>0</v>
      </c>
      <c r="I88" s="58">
        <f t="shared" si="19"/>
        <v>0</v>
      </c>
      <c r="J88" s="57">
        <v>1</v>
      </c>
      <c r="K88" s="57">
        <v>2</v>
      </c>
      <c r="L88" s="58">
        <f t="shared" si="20"/>
        <v>0.5</v>
      </c>
      <c r="M88" s="57">
        <v>8</v>
      </c>
      <c r="N88" s="57">
        <v>2</v>
      </c>
      <c r="O88" s="57">
        <v>1</v>
      </c>
      <c r="P88" s="57">
        <v>4</v>
      </c>
      <c r="Q88" s="57">
        <v>0</v>
      </c>
      <c r="R88" s="57">
        <v>11</v>
      </c>
    </row>
    <row r="89" spans="1:18" x14ac:dyDescent="0.25">
      <c r="A89" s="61">
        <v>42201</v>
      </c>
      <c r="B89" s="60"/>
      <c r="C89" s="59" t="s">
        <v>109</v>
      </c>
      <c r="D89" s="57">
        <v>0</v>
      </c>
      <c r="E89" s="57">
        <v>7</v>
      </c>
      <c r="F89" s="58">
        <f t="shared" si="18"/>
        <v>0</v>
      </c>
      <c r="G89" s="57">
        <v>0</v>
      </c>
      <c r="H89" s="57">
        <v>1</v>
      </c>
      <c r="I89" s="58">
        <f t="shared" si="19"/>
        <v>0</v>
      </c>
      <c r="J89" s="57">
        <v>0</v>
      </c>
      <c r="K89" s="57">
        <v>0</v>
      </c>
      <c r="L89" s="58">
        <f t="shared" si="20"/>
        <v>0</v>
      </c>
      <c r="M89" s="57">
        <v>1</v>
      </c>
      <c r="N89" s="57">
        <v>4</v>
      </c>
      <c r="O89" s="57">
        <v>1</v>
      </c>
      <c r="P89" s="57">
        <v>0</v>
      </c>
      <c r="Q89" s="57">
        <v>0</v>
      </c>
      <c r="R89" s="57">
        <v>0</v>
      </c>
    </row>
    <row r="90" spans="1:18" x14ac:dyDescent="0.25">
      <c r="A90" s="21">
        <v>42202</v>
      </c>
      <c r="B90" s="20"/>
      <c r="C90" s="15" t="s">
        <v>77</v>
      </c>
      <c r="D90" s="16">
        <v>2</v>
      </c>
      <c r="E90" s="16">
        <v>4</v>
      </c>
      <c r="F90" s="56">
        <f t="shared" si="18"/>
        <v>0.5</v>
      </c>
      <c r="G90" s="16">
        <v>2</v>
      </c>
      <c r="H90" s="16">
        <v>3</v>
      </c>
      <c r="I90" s="56">
        <f t="shared" si="19"/>
        <v>0.66666666666666663</v>
      </c>
      <c r="J90" s="16">
        <v>0</v>
      </c>
      <c r="K90" s="16">
        <v>0</v>
      </c>
      <c r="L90" s="56">
        <f t="shared" si="20"/>
        <v>0</v>
      </c>
      <c r="M90" s="16">
        <v>2</v>
      </c>
      <c r="N90" s="16">
        <v>1</v>
      </c>
      <c r="O90" s="16">
        <v>1</v>
      </c>
      <c r="P90" s="16">
        <v>3</v>
      </c>
      <c r="Q90" s="16">
        <v>0</v>
      </c>
      <c r="R90" s="16">
        <v>6</v>
      </c>
    </row>
    <row r="91" spans="1:18" x14ac:dyDescent="0.25">
      <c r="A91" s="21">
        <v>42202</v>
      </c>
      <c r="B91" s="20"/>
      <c r="C91" s="15" t="s">
        <v>134</v>
      </c>
      <c r="D91" s="16">
        <v>1</v>
      </c>
      <c r="E91" s="16">
        <v>2</v>
      </c>
      <c r="F91" s="56">
        <f t="shared" si="18"/>
        <v>0.5</v>
      </c>
      <c r="G91" s="16">
        <v>0</v>
      </c>
      <c r="H91" s="16">
        <v>0</v>
      </c>
      <c r="I91" s="56">
        <f t="shared" si="19"/>
        <v>0</v>
      </c>
      <c r="J91" s="16">
        <v>1</v>
      </c>
      <c r="K91" s="16">
        <v>2</v>
      </c>
      <c r="L91" s="56">
        <f t="shared" si="20"/>
        <v>0.5</v>
      </c>
      <c r="M91" s="16">
        <v>1</v>
      </c>
      <c r="N91" s="16">
        <v>1</v>
      </c>
      <c r="O91" s="16">
        <v>0</v>
      </c>
      <c r="P91" s="16">
        <v>1</v>
      </c>
      <c r="Q91" s="16">
        <v>0</v>
      </c>
      <c r="R91" s="16">
        <v>3</v>
      </c>
    </row>
    <row r="92" spans="1:18" x14ac:dyDescent="0.25">
      <c r="A92" s="21">
        <v>42203</v>
      </c>
      <c r="B92" s="20"/>
      <c r="C92" s="15" t="s">
        <v>74</v>
      </c>
      <c r="D92" s="16">
        <v>5</v>
      </c>
      <c r="E92" s="16">
        <v>11</v>
      </c>
      <c r="F92" s="56">
        <f t="shared" si="18"/>
        <v>0.45454545454545453</v>
      </c>
      <c r="G92" s="16">
        <v>0</v>
      </c>
      <c r="H92" s="16">
        <v>0</v>
      </c>
      <c r="I92" s="56">
        <f t="shared" si="19"/>
        <v>0</v>
      </c>
      <c r="J92" s="16">
        <v>6</v>
      </c>
      <c r="K92" s="16">
        <v>9</v>
      </c>
      <c r="L92" s="56">
        <f t="shared" si="20"/>
        <v>0.66666666666666663</v>
      </c>
      <c r="M92" s="16">
        <v>4</v>
      </c>
      <c r="N92" s="16">
        <v>1</v>
      </c>
      <c r="O92" s="16">
        <v>2</v>
      </c>
      <c r="P92" s="16">
        <v>7</v>
      </c>
      <c r="Q92" s="16">
        <v>0</v>
      </c>
      <c r="R92" s="16">
        <v>16</v>
      </c>
    </row>
    <row r="93" spans="1:18" x14ac:dyDescent="0.25">
      <c r="A93" s="21">
        <v>42203</v>
      </c>
      <c r="B93" s="20"/>
      <c r="C93" s="15" t="s">
        <v>76</v>
      </c>
      <c r="D93" s="16">
        <v>3</v>
      </c>
      <c r="E93" s="16">
        <v>13</v>
      </c>
      <c r="F93" s="56">
        <f t="shared" si="18"/>
        <v>0.23076923076923078</v>
      </c>
      <c r="G93" s="16">
        <v>0</v>
      </c>
      <c r="H93" s="16">
        <v>6</v>
      </c>
      <c r="I93" s="56">
        <f t="shared" si="19"/>
        <v>0</v>
      </c>
      <c r="J93" s="16">
        <v>4</v>
      </c>
      <c r="K93" s="16">
        <v>4</v>
      </c>
      <c r="L93" s="56">
        <f t="shared" si="20"/>
        <v>1</v>
      </c>
      <c r="M93" s="16">
        <v>2</v>
      </c>
      <c r="N93" s="16">
        <v>4</v>
      </c>
      <c r="O93" s="16">
        <v>0</v>
      </c>
      <c r="P93" s="16">
        <v>2</v>
      </c>
      <c r="Q93" s="16">
        <v>0</v>
      </c>
      <c r="R93" s="16">
        <v>10</v>
      </c>
    </row>
    <row r="94" spans="1:18" x14ac:dyDescent="0.25">
      <c r="A94" s="21">
        <v>42203</v>
      </c>
      <c r="B94" s="20"/>
      <c r="C94" s="15" t="s">
        <v>95</v>
      </c>
      <c r="D94" s="16">
        <v>3</v>
      </c>
      <c r="E94" s="16">
        <v>6</v>
      </c>
      <c r="F94" s="56">
        <f t="shared" si="18"/>
        <v>0.5</v>
      </c>
      <c r="G94" s="16">
        <v>0</v>
      </c>
      <c r="H94" s="16">
        <v>0</v>
      </c>
      <c r="I94" s="56">
        <f t="shared" si="19"/>
        <v>0</v>
      </c>
      <c r="J94" s="16">
        <v>7</v>
      </c>
      <c r="K94" s="16">
        <v>10</v>
      </c>
      <c r="L94" s="56">
        <f t="shared" si="20"/>
        <v>0.7</v>
      </c>
      <c r="M94" s="16">
        <v>2</v>
      </c>
      <c r="N94" s="16">
        <v>1</v>
      </c>
      <c r="O94" s="16">
        <v>3</v>
      </c>
      <c r="P94" s="16">
        <v>1</v>
      </c>
      <c r="Q94" s="16">
        <v>0</v>
      </c>
      <c r="R94" s="16">
        <v>13</v>
      </c>
    </row>
    <row r="95" spans="1:18" x14ac:dyDescent="0.25">
      <c r="A95" s="21">
        <v>42204</v>
      </c>
      <c r="B95" s="20"/>
      <c r="C95" s="15" t="s">
        <v>134</v>
      </c>
      <c r="D95" s="16">
        <v>0</v>
      </c>
      <c r="E95" s="16">
        <v>3</v>
      </c>
      <c r="F95" s="56">
        <f t="shared" si="18"/>
        <v>0</v>
      </c>
      <c r="G95" s="16">
        <v>0</v>
      </c>
      <c r="H95" s="16">
        <v>2</v>
      </c>
      <c r="I95" s="56">
        <f t="shared" si="19"/>
        <v>0</v>
      </c>
      <c r="J95" s="16">
        <v>0</v>
      </c>
      <c r="K95" s="16">
        <v>0</v>
      </c>
      <c r="L95" s="56">
        <f t="shared" si="20"/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</row>
    <row r="96" spans="1:18" x14ac:dyDescent="0.25">
      <c r="A96" s="21">
        <v>42204</v>
      </c>
      <c r="B96" s="20"/>
      <c r="C96" s="15" t="s">
        <v>75</v>
      </c>
      <c r="D96" s="16">
        <v>10</v>
      </c>
      <c r="E96" s="16">
        <v>17</v>
      </c>
      <c r="F96" s="56">
        <f t="shared" si="18"/>
        <v>0.58823529411764708</v>
      </c>
      <c r="G96" s="16">
        <v>0</v>
      </c>
      <c r="H96" s="16">
        <v>0</v>
      </c>
      <c r="I96" s="56">
        <f t="shared" si="19"/>
        <v>0</v>
      </c>
      <c r="J96" s="16">
        <v>4</v>
      </c>
      <c r="K96" s="16">
        <v>5</v>
      </c>
      <c r="L96" s="56">
        <f t="shared" si="20"/>
        <v>0.8</v>
      </c>
      <c r="M96" s="16">
        <v>6</v>
      </c>
      <c r="N96" s="16">
        <v>2</v>
      </c>
      <c r="O96" s="16">
        <v>0</v>
      </c>
      <c r="P96" s="16">
        <v>3</v>
      </c>
      <c r="Q96" s="16">
        <v>0</v>
      </c>
      <c r="R96" s="16">
        <v>24</v>
      </c>
    </row>
    <row r="97" spans="1:18" x14ac:dyDescent="0.25">
      <c r="A97" s="21">
        <v>42204</v>
      </c>
      <c r="B97" s="20"/>
      <c r="C97" s="15" t="s">
        <v>109</v>
      </c>
      <c r="D97" s="16">
        <v>3</v>
      </c>
      <c r="E97" s="16">
        <v>9</v>
      </c>
      <c r="F97" s="56">
        <f t="shared" si="18"/>
        <v>0.33333333333333331</v>
      </c>
      <c r="G97" s="16">
        <v>1</v>
      </c>
      <c r="H97" s="16">
        <v>2</v>
      </c>
      <c r="I97" s="56">
        <f t="shared" si="19"/>
        <v>0.5</v>
      </c>
      <c r="J97" s="16">
        <v>0</v>
      </c>
      <c r="K97" s="16">
        <v>0</v>
      </c>
      <c r="L97" s="56">
        <f t="shared" si="20"/>
        <v>0</v>
      </c>
      <c r="M97" s="16">
        <v>2</v>
      </c>
      <c r="N97" s="16">
        <v>3</v>
      </c>
      <c r="O97" s="16">
        <v>1</v>
      </c>
      <c r="P97" s="16">
        <v>2</v>
      </c>
      <c r="Q97" s="16">
        <v>0</v>
      </c>
      <c r="R97" s="16">
        <v>7</v>
      </c>
    </row>
    <row r="98" spans="1:18" x14ac:dyDescent="0.25">
      <c r="A98" s="21">
        <v>42206</v>
      </c>
      <c r="B98" s="20"/>
      <c r="C98" s="15" t="s">
        <v>74</v>
      </c>
      <c r="D98" s="16">
        <v>6</v>
      </c>
      <c r="E98" s="16">
        <v>17</v>
      </c>
      <c r="F98" s="70">
        <f t="shared" ref="F98:F120" si="21">IF(E98=0,0,D98/E98)</f>
        <v>0.35294117647058826</v>
      </c>
      <c r="G98" s="16">
        <v>1</v>
      </c>
      <c r="H98" s="16">
        <v>3</v>
      </c>
      <c r="I98" s="70">
        <f t="shared" ref="I98:I120" si="22">IF(H98=0,0,G98/H98)</f>
        <v>0.33333333333333331</v>
      </c>
      <c r="J98" s="16">
        <v>1</v>
      </c>
      <c r="K98" s="16">
        <v>1</v>
      </c>
      <c r="L98" s="70">
        <f t="shared" ref="L98:L120" si="23">IF(K98=0,0,J98/K98)</f>
        <v>1</v>
      </c>
      <c r="M98" s="16">
        <v>6</v>
      </c>
      <c r="N98" s="16">
        <v>6</v>
      </c>
      <c r="O98" s="16">
        <v>3</v>
      </c>
      <c r="P98" s="16">
        <v>1</v>
      </c>
      <c r="Q98" s="16">
        <v>1</v>
      </c>
      <c r="R98" s="16">
        <v>14</v>
      </c>
    </row>
    <row r="99" spans="1:18" x14ac:dyDescent="0.25">
      <c r="A99" s="21">
        <v>42206</v>
      </c>
      <c r="B99" s="20"/>
      <c r="C99" s="15" t="s">
        <v>77</v>
      </c>
      <c r="D99" s="16">
        <v>2</v>
      </c>
      <c r="E99" s="16">
        <v>6</v>
      </c>
      <c r="F99" s="70">
        <f t="shared" si="21"/>
        <v>0.33333333333333331</v>
      </c>
      <c r="G99" s="16">
        <v>1</v>
      </c>
      <c r="H99" s="16">
        <v>1</v>
      </c>
      <c r="I99" s="70">
        <f t="shared" si="22"/>
        <v>1</v>
      </c>
      <c r="J99" s="16">
        <v>2</v>
      </c>
      <c r="K99" s="16">
        <v>2</v>
      </c>
      <c r="L99" s="70">
        <f t="shared" si="23"/>
        <v>1</v>
      </c>
      <c r="M99" s="16">
        <v>1</v>
      </c>
      <c r="N99" s="16">
        <v>3</v>
      </c>
      <c r="O99" s="16">
        <v>0</v>
      </c>
      <c r="P99" s="16">
        <v>0</v>
      </c>
      <c r="Q99" s="16">
        <v>0</v>
      </c>
      <c r="R99" s="16">
        <v>7</v>
      </c>
    </row>
    <row r="100" spans="1:18" x14ac:dyDescent="0.25">
      <c r="A100" s="21">
        <v>42206</v>
      </c>
      <c r="B100" s="20"/>
      <c r="C100" s="15" t="s">
        <v>76</v>
      </c>
      <c r="D100" s="16">
        <v>6</v>
      </c>
      <c r="E100" s="16">
        <v>11</v>
      </c>
      <c r="F100" s="70">
        <f t="shared" si="21"/>
        <v>0.54545454545454541</v>
      </c>
      <c r="G100" s="16">
        <v>1</v>
      </c>
      <c r="H100" s="16">
        <v>2</v>
      </c>
      <c r="I100" s="70">
        <f t="shared" si="22"/>
        <v>0.5</v>
      </c>
      <c r="J100" s="16">
        <v>2</v>
      </c>
      <c r="K100" s="16">
        <v>2</v>
      </c>
      <c r="L100" s="70">
        <f t="shared" si="23"/>
        <v>1</v>
      </c>
      <c r="M100" s="16">
        <v>3</v>
      </c>
      <c r="N100" s="16">
        <v>2</v>
      </c>
      <c r="O100" s="16">
        <v>1</v>
      </c>
      <c r="P100" s="16">
        <v>2</v>
      </c>
      <c r="Q100" s="16">
        <v>0</v>
      </c>
      <c r="R100" s="16">
        <v>15</v>
      </c>
    </row>
    <row r="101" spans="1:18" x14ac:dyDescent="0.25">
      <c r="A101" s="21">
        <v>42206</v>
      </c>
      <c r="B101" s="20"/>
      <c r="C101" s="15" t="s">
        <v>134</v>
      </c>
      <c r="D101" s="16">
        <v>0</v>
      </c>
      <c r="E101" s="16">
        <v>3</v>
      </c>
      <c r="F101" s="70">
        <f t="shared" si="21"/>
        <v>0</v>
      </c>
      <c r="G101" s="16">
        <v>0</v>
      </c>
      <c r="H101" s="16">
        <v>2</v>
      </c>
      <c r="I101" s="70">
        <f t="shared" si="22"/>
        <v>0</v>
      </c>
      <c r="J101" s="16">
        <v>2</v>
      </c>
      <c r="K101" s="16">
        <v>2</v>
      </c>
      <c r="L101" s="70">
        <f t="shared" si="23"/>
        <v>1</v>
      </c>
      <c r="M101" s="16">
        <v>1</v>
      </c>
      <c r="N101" s="16">
        <v>1</v>
      </c>
      <c r="O101" s="16">
        <v>0</v>
      </c>
      <c r="P101" s="16">
        <v>1</v>
      </c>
      <c r="Q101" s="16">
        <v>0</v>
      </c>
      <c r="R101" s="16">
        <v>2</v>
      </c>
    </row>
    <row r="102" spans="1:18" x14ac:dyDescent="0.25">
      <c r="A102" s="21">
        <v>42206</v>
      </c>
      <c r="B102" s="20"/>
      <c r="C102" s="15" t="s">
        <v>95</v>
      </c>
      <c r="D102" s="16">
        <v>0</v>
      </c>
      <c r="E102" s="16">
        <v>1</v>
      </c>
      <c r="F102" s="70">
        <f t="shared" si="21"/>
        <v>0</v>
      </c>
      <c r="G102" s="16">
        <v>0</v>
      </c>
      <c r="H102" s="16">
        <v>0</v>
      </c>
      <c r="I102" s="70">
        <f t="shared" si="22"/>
        <v>0</v>
      </c>
      <c r="J102" s="16">
        <v>1</v>
      </c>
      <c r="K102" s="16">
        <v>2</v>
      </c>
      <c r="L102" s="70">
        <f t="shared" si="23"/>
        <v>0.5</v>
      </c>
      <c r="M102" s="16">
        <v>1</v>
      </c>
      <c r="N102" s="16">
        <v>3</v>
      </c>
      <c r="O102" s="16">
        <v>0</v>
      </c>
      <c r="P102" s="16">
        <v>2</v>
      </c>
      <c r="Q102" s="16">
        <v>0</v>
      </c>
      <c r="R102" s="16">
        <v>1</v>
      </c>
    </row>
    <row r="103" spans="1:18" x14ac:dyDescent="0.25">
      <c r="A103" s="71">
        <v>42207</v>
      </c>
      <c r="B103" s="20"/>
      <c r="C103" s="15" t="s">
        <v>75</v>
      </c>
      <c r="D103" s="16">
        <v>4</v>
      </c>
      <c r="E103" s="16">
        <v>11</v>
      </c>
      <c r="F103" s="70">
        <f t="shared" si="21"/>
        <v>0.36363636363636365</v>
      </c>
      <c r="G103" s="16">
        <v>0</v>
      </c>
      <c r="H103" s="16">
        <v>0</v>
      </c>
      <c r="I103" s="70">
        <f t="shared" si="22"/>
        <v>0</v>
      </c>
      <c r="J103" s="16">
        <v>0</v>
      </c>
      <c r="K103" s="16">
        <v>0</v>
      </c>
      <c r="L103" s="70">
        <f t="shared" si="23"/>
        <v>0</v>
      </c>
      <c r="M103" s="16">
        <v>10</v>
      </c>
      <c r="N103" s="16">
        <v>0</v>
      </c>
      <c r="O103" s="16">
        <v>0</v>
      </c>
      <c r="P103" s="16">
        <v>1</v>
      </c>
      <c r="Q103" s="16">
        <v>0</v>
      </c>
      <c r="R103" s="16">
        <v>8</v>
      </c>
    </row>
    <row r="104" spans="1:18" x14ac:dyDescent="0.25">
      <c r="A104" s="71">
        <v>42207</v>
      </c>
      <c r="B104" s="20"/>
      <c r="C104" s="15" t="s">
        <v>109</v>
      </c>
      <c r="D104" s="16">
        <v>3</v>
      </c>
      <c r="E104" s="16">
        <v>10</v>
      </c>
      <c r="F104" s="70">
        <f t="shared" si="21"/>
        <v>0.3</v>
      </c>
      <c r="G104" s="16">
        <v>2</v>
      </c>
      <c r="H104" s="16">
        <v>5</v>
      </c>
      <c r="I104" s="70">
        <f t="shared" si="22"/>
        <v>0.4</v>
      </c>
      <c r="J104" s="16">
        <v>0</v>
      </c>
      <c r="K104" s="16">
        <v>0</v>
      </c>
      <c r="L104" s="70">
        <f t="shared" si="23"/>
        <v>0</v>
      </c>
      <c r="M104" s="16">
        <v>9</v>
      </c>
      <c r="N104" s="16">
        <v>4</v>
      </c>
      <c r="O104" s="16">
        <v>1</v>
      </c>
      <c r="P104" s="16">
        <v>4</v>
      </c>
      <c r="Q104" s="16">
        <v>0</v>
      </c>
      <c r="R104" s="16">
        <v>8</v>
      </c>
    </row>
    <row r="105" spans="1:18" x14ac:dyDescent="0.25">
      <c r="A105" s="71">
        <v>42207</v>
      </c>
      <c r="B105" s="20"/>
      <c r="C105" s="15" t="s">
        <v>95</v>
      </c>
      <c r="D105" s="16">
        <v>0</v>
      </c>
      <c r="E105" s="16">
        <v>3</v>
      </c>
      <c r="F105" s="70">
        <f t="shared" si="21"/>
        <v>0</v>
      </c>
      <c r="G105" s="16">
        <v>0</v>
      </c>
      <c r="H105" s="16">
        <v>2</v>
      </c>
      <c r="I105" s="70">
        <f t="shared" si="22"/>
        <v>0</v>
      </c>
      <c r="J105" s="16">
        <v>0</v>
      </c>
      <c r="K105" s="16">
        <v>0</v>
      </c>
      <c r="L105" s="70">
        <f t="shared" si="23"/>
        <v>0</v>
      </c>
      <c r="M105" s="16">
        <v>3</v>
      </c>
      <c r="N105" s="16">
        <v>2</v>
      </c>
      <c r="O105" s="16">
        <v>1</v>
      </c>
      <c r="P105" s="16">
        <v>1</v>
      </c>
      <c r="Q105" s="16">
        <v>0</v>
      </c>
      <c r="R105" s="16">
        <v>0</v>
      </c>
    </row>
    <row r="106" spans="1:18" x14ac:dyDescent="0.25">
      <c r="A106" s="73">
        <v>42213</v>
      </c>
      <c r="B106" s="20"/>
      <c r="C106" s="15" t="s">
        <v>77</v>
      </c>
      <c r="D106" s="16">
        <v>3</v>
      </c>
      <c r="E106" s="16">
        <v>9</v>
      </c>
      <c r="F106" s="70">
        <f t="shared" si="21"/>
        <v>0.33333333333333331</v>
      </c>
      <c r="G106" s="16">
        <v>0</v>
      </c>
      <c r="H106" s="16">
        <v>3</v>
      </c>
      <c r="I106" s="70">
        <f t="shared" si="22"/>
        <v>0</v>
      </c>
      <c r="J106" s="16">
        <v>0</v>
      </c>
      <c r="K106" s="16">
        <v>0</v>
      </c>
      <c r="L106" s="70">
        <f t="shared" si="23"/>
        <v>0</v>
      </c>
      <c r="M106" s="16">
        <v>0</v>
      </c>
      <c r="N106" s="16">
        <v>2</v>
      </c>
      <c r="O106" s="16">
        <v>0</v>
      </c>
      <c r="P106" s="16">
        <v>2</v>
      </c>
      <c r="Q106" s="16">
        <v>0</v>
      </c>
      <c r="R106" s="16">
        <v>6</v>
      </c>
    </row>
    <row r="107" spans="1:18" x14ac:dyDescent="0.25">
      <c r="A107" s="73">
        <v>42213</v>
      </c>
      <c r="B107" s="20"/>
      <c r="C107" s="15" t="s">
        <v>75</v>
      </c>
      <c r="D107" s="16">
        <v>6</v>
      </c>
      <c r="E107" s="16">
        <v>11</v>
      </c>
      <c r="F107" s="70">
        <f t="shared" si="21"/>
        <v>0.54545454545454541</v>
      </c>
      <c r="G107" s="16">
        <v>0</v>
      </c>
      <c r="H107" s="16">
        <v>0</v>
      </c>
      <c r="I107" s="70">
        <f t="shared" si="22"/>
        <v>0</v>
      </c>
      <c r="J107" s="16">
        <v>2</v>
      </c>
      <c r="K107" s="16">
        <v>3</v>
      </c>
      <c r="L107" s="70">
        <f t="shared" si="23"/>
        <v>0.66666666666666663</v>
      </c>
      <c r="M107" s="16">
        <v>4</v>
      </c>
      <c r="N107" s="16">
        <v>2</v>
      </c>
      <c r="O107" s="16">
        <v>1</v>
      </c>
      <c r="P107" s="16">
        <v>5</v>
      </c>
      <c r="Q107" s="16">
        <v>1</v>
      </c>
      <c r="R107" s="16">
        <v>14</v>
      </c>
    </row>
    <row r="108" spans="1:18" x14ac:dyDescent="0.25">
      <c r="A108" s="73">
        <v>42213</v>
      </c>
      <c r="B108" s="20"/>
      <c r="C108" s="15" t="s">
        <v>109</v>
      </c>
      <c r="D108" s="16">
        <v>1</v>
      </c>
      <c r="E108" s="16">
        <v>7</v>
      </c>
      <c r="F108" s="70">
        <f t="shared" si="21"/>
        <v>0.14285714285714285</v>
      </c>
      <c r="G108" s="16">
        <v>1</v>
      </c>
      <c r="H108" s="16">
        <v>5</v>
      </c>
      <c r="I108" s="70">
        <f t="shared" si="22"/>
        <v>0.2</v>
      </c>
      <c r="J108" s="16">
        <v>3</v>
      </c>
      <c r="K108" s="16">
        <v>4</v>
      </c>
      <c r="L108" s="70">
        <f t="shared" si="23"/>
        <v>0.75</v>
      </c>
      <c r="M108" s="16">
        <v>4</v>
      </c>
      <c r="N108" s="16">
        <v>5</v>
      </c>
      <c r="O108" s="16">
        <v>0</v>
      </c>
      <c r="P108" s="16">
        <v>3</v>
      </c>
      <c r="Q108" s="16">
        <v>0</v>
      </c>
      <c r="R108" s="16">
        <v>6</v>
      </c>
    </row>
    <row r="109" spans="1:18" x14ac:dyDescent="0.25">
      <c r="A109" s="73">
        <v>42213</v>
      </c>
      <c r="B109" s="20"/>
      <c r="C109" s="15" t="s">
        <v>76</v>
      </c>
      <c r="D109" s="16">
        <v>10</v>
      </c>
      <c r="E109" s="16">
        <v>17</v>
      </c>
      <c r="F109" s="70">
        <f t="shared" si="21"/>
        <v>0.58823529411764708</v>
      </c>
      <c r="G109" s="16">
        <v>3</v>
      </c>
      <c r="H109" s="16">
        <v>4</v>
      </c>
      <c r="I109" s="70">
        <f t="shared" si="22"/>
        <v>0.75</v>
      </c>
      <c r="J109" s="16">
        <v>11</v>
      </c>
      <c r="K109" s="16">
        <v>11</v>
      </c>
      <c r="L109" s="70">
        <f t="shared" si="23"/>
        <v>1</v>
      </c>
      <c r="M109" s="16">
        <v>8</v>
      </c>
      <c r="N109" s="16">
        <v>3</v>
      </c>
      <c r="O109" s="16">
        <v>3</v>
      </c>
      <c r="P109" s="16">
        <v>5</v>
      </c>
      <c r="Q109" s="16">
        <v>1</v>
      </c>
      <c r="R109" s="16">
        <v>34</v>
      </c>
    </row>
    <row r="110" spans="1:18" x14ac:dyDescent="0.25">
      <c r="A110" s="21">
        <v>42214</v>
      </c>
      <c r="B110" s="20"/>
      <c r="C110" s="15" t="s">
        <v>152</v>
      </c>
      <c r="D110" s="16">
        <v>2</v>
      </c>
      <c r="E110" s="16">
        <v>4</v>
      </c>
      <c r="F110" s="70">
        <f t="shared" si="21"/>
        <v>0.5</v>
      </c>
      <c r="G110" s="16">
        <v>0</v>
      </c>
      <c r="H110" s="16">
        <v>0</v>
      </c>
      <c r="I110" s="70">
        <f t="shared" si="22"/>
        <v>0</v>
      </c>
      <c r="J110" s="16">
        <v>4</v>
      </c>
      <c r="K110" s="16">
        <v>4</v>
      </c>
      <c r="L110" s="70">
        <f t="shared" si="23"/>
        <v>1</v>
      </c>
      <c r="M110" s="16">
        <v>4</v>
      </c>
      <c r="N110" s="16">
        <v>3</v>
      </c>
      <c r="O110" s="16">
        <v>1</v>
      </c>
      <c r="P110" s="16">
        <v>0</v>
      </c>
      <c r="Q110" s="16">
        <v>1</v>
      </c>
      <c r="R110" s="16">
        <v>8</v>
      </c>
    </row>
    <row r="111" spans="1:18" x14ac:dyDescent="0.25">
      <c r="A111" s="21">
        <v>42214</v>
      </c>
      <c r="B111" s="20"/>
      <c r="C111" s="15" t="s">
        <v>74</v>
      </c>
      <c r="D111" s="16">
        <v>4</v>
      </c>
      <c r="E111" s="16">
        <v>9</v>
      </c>
      <c r="F111" s="70">
        <f t="shared" si="21"/>
        <v>0.44444444444444442</v>
      </c>
      <c r="G111" s="16">
        <v>0</v>
      </c>
      <c r="H111" s="16">
        <v>0</v>
      </c>
      <c r="I111" s="70">
        <f t="shared" si="22"/>
        <v>0</v>
      </c>
      <c r="J111" s="16">
        <v>6</v>
      </c>
      <c r="K111" s="16">
        <v>8</v>
      </c>
      <c r="L111" s="70">
        <f t="shared" si="23"/>
        <v>0.75</v>
      </c>
      <c r="M111" s="16">
        <v>1</v>
      </c>
      <c r="N111" s="16">
        <v>1</v>
      </c>
      <c r="O111" s="16">
        <v>1</v>
      </c>
      <c r="P111" s="16">
        <v>0</v>
      </c>
      <c r="Q111" s="16">
        <v>1</v>
      </c>
      <c r="R111" s="16">
        <v>14</v>
      </c>
    </row>
    <row r="112" spans="1:18" x14ac:dyDescent="0.25">
      <c r="A112" s="21">
        <v>42214</v>
      </c>
      <c r="B112" s="20"/>
      <c r="C112" s="15" t="s">
        <v>77</v>
      </c>
      <c r="D112" s="16">
        <v>3</v>
      </c>
      <c r="E112" s="16">
        <v>7</v>
      </c>
      <c r="F112" s="70">
        <f t="shared" si="21"/>
        <v>0.42857142857142855</v>
      </c>
      <c r="G112" s="16">
        <v>1</v>
      </c>
      <c r="H112" s="16">
        <v>2</v>
      </c>
      <c r="I112" s="70">
        <f t="shared" si="22"/>
        <v>0.5</v>
      </c>
      <c r="J112" s="16">
        <v>5</v>
      </c>
      <c r="K112" s="16">
        <v>5</v>
      </c>
      <c r="L112" s="70">
        <f t="shared" si="23"/>
        <v>1</v>
      </c>
      <c r="M112" s="16">
        <v>2</v>
      </c>
      <c r="N112" s="16">
        <v>8</v>
      </c>
      <c r="O112" s="16">
        <v>1</v>
      </c>
      <c r="P112" s="16">
        <v>1</v>
      </c>
      <c r="Q112" s="16">
        <v>0</v>
      </c>
      <c r="R112" s="16">
        <v>12</v>
      </c>
    </row>
    <row r="113" spans="1:18" x14ac:dyDescent="0.25">
      <c r="A113" s="21">
        <v>42214</v>
      </c>
      <c r="B113" s="20"/>
      <c r="C113" s="15" t="s">
        <v>95</v>
      </c>
      <c r="D113" s="16">
        <v>0</v>
      </c>
      <c r="E113" s="16">
        <v>0</v>
      </c>
      <c r="F113" s="70">
        <f t="shared" si="21"/>
        <v>0</v>
      </c>
      <c r="G113" s="16">
        <v>0</v>
      </c>
      <c r="H113" s="16">
        <v>0</v>
      </c>
      <c r="I113" s="70">
        <f t="shared" si="22"/>
        <v>0</v>
      </c>
      <c r="J113" s="16">
        <v>0</v>
      </c>
      <c r="K113" s="16">
        <v>0</v>
      </c>
      <c r="L113" s="70">
        <f t="shared" si="23"/>
        <v>0</v>
      </c>
      <c r="M113" s="16">
        <v>0</v>
      </c>
      <c r="N113" s="16">
        <v>0</v>
      </c>
      <c r="O113" s="16">
        <v>1</v>
      </c>
      <c r="P113" s="16">
        <v>2</v>
      </c>
      <c r="Q113" s="16">
        <v>0</v>
      </c>
      <c r="R113" s="16">
        <v>0</v>
      </c>
    </row>
    <row r="114" spans="1:18" x14ac:dyDescent="0.25">
      <c r="A114" s="71">
        <v>42215</v>
      </c>
      <c r="B114" s="20"/>
      <c r="C114" s="15" t="s">
        <v>76</v>
      </c>
      <c r="D114" s="16">
        <v>7</v>
      </c>
      <c r="E114" s="16">
        <v>14</v>
      </c>
      <c r="F114" s="70">
        <f t="shared" si="21"/>
        <v>0.5</v>
      </c>
      <c r="G114" s="16">
        <v>2</v>
      </c>
      <c r="H114" s="16">
        <v>4</v>
      </c>
      <c r="I114" s="70">
        <f t="shared" si="22"/>
        <v>0.5</v>
      </c>
      <c r="J114" s="16">
        <v>8</v>
      </c>
      <c r="K114" s="16">
        <v>8</v>
      </c>
      <c r="L114" s="70">
        <f t="shared" si="23"/>
        <v>1</v>
      </c>
      <c r="M114" s="16">
        <v>9</v>
      </c>
      <c r="N114" s="16">
        <v>3</v>
      </c>
      <c r="O114" s="16">
        <v>2</v>
      </c>
      <c r="P114" s="16">
        <v>2</v>
      </c>
      <c r="Q114" s="16">
        <v>2</v>
      </c>
      <c r="R114" s="16">
        <v>24</v>
      </c>
    </row>
    <row r="115" spans="1:18" x14ac:dyDescent="0.25">
      <c r="A115" s="71">
        <v>42215</v>
      </c>
      <c r="B115" s="20"/>
      <c r="C115" s="15" t="s">
        <v>134</v>
      </c>
      <c r="D115" s="16">
        <v>0</v>
      </c>
      <c r="E115" s="16">
        <v>6</v>
      </c>
      <c r="F115" s="70">
        <f t="shared" si="21"/>
        <v>0</v>
      </c>
      <c r="G115" s="16">
        <v>0</v>
      </c>
      <c r="H115" s="16">
        <v>1</v>
      </c>
      <c r="I115" s="70">
        <f t="shared" si="22"/>
        <v>0</v>
      </c>
      <c r="J115" s="16">
        <v>1</v>
      </c>
      <c r="K115" s="16">
        <v>2</v>
      </c>
      <c r="L115" s="70">
        <f t="shared" si="23"/>
        <v>0.5</v>
      </c>
      <c r="M115" s="16">
        <v>1</v>
      </c>
      <c r="N115" s="16">
        <v>1</v>
      </c>
      <c r="O115" s="16">
        <v>1</v>
      </c>
      <c r="P115" s="16">
        <v>2</v>
      </c>
      <c r="Q115" s="16">
        <v>0</v>
      </c>
      <c r="R115" s="16">
        <v>1</v>
      </c>
    </row>
    <row r="116" spans="1:18" x14ac:dyDescent="0.25">
      <c r="A116" s="21">
        <v>42216</v>
      </c>
      <c r="B116" s="20"/>
      <c r="C116" s="15" t="s">
        <v>74</v>
      </c>
      <c r="D116" s="16">
        <v>4</v>
      </c>
      <c r="E116" s="16">
        <v>11</v>
      </c>
      <c r="F116" s="70">
        <f t="shared" si="21"/>
        <v>0.36363636363636365</v>
      </c>
      <c r="G116" s="16">
        <v>0</v>
      </c>
      <c r="H116" s="16">
        <v>1</v>
      </c>
      <c r="I116" s="70">
        <f t="shared" si="22"/>
        <v>0</v>
      </c>
      <c r="J116" s="16">
        <v>1</v>
      </c>
      <c r="K116" s="16">
        <v>2</v>
      </c>
      <c r="L116" s="70">
        <f t="shared" si="23"/>
        <v>0.5</v>
      </c>
      <c r="M116" s="16">
        <v>2</v>
      </c>
      <c r="N116" s="16">
        <v>4</v>
      </c>
      <c r="O116" s="16">
        <v>3</v>
      </c>
      <c r="P116" s="16">
        <v>4</v>
      </c>
      <c r="Q116" s="16">
        <v>0</v>
      </c>
      <c r="R116" s="16">
        <v>9</v>
      </c>
    </row>
    <row r="117" spans="1:18" x14ac:dyDescent="0.25">
      <c r="A117" s="21">
        <v>42216</v>
      </c>
      <c r="B117" s="20"/>
      <c r="C117" s="15" t="s">
        <v>75</v>
      </c>
      <c r="D117" s="16">
        <v>6</v>
      </c>
      <c r="E117" s="16">
        <v>14</v>
      </c>
      <c r="F117" s="70">
        <f t="shared" si="21"/>
        <v>0.42857142857142855</v>
      </c>
      <c r="G117" s="16">
        <v>0</v>
      </c>
      <c r="H117" s="16">
        <v>0</v>
      </c>
      <c r="I117" s="70">
        <f t="shared" si="22"/>
        <v>0</v>
      </c>
      <c r="J117" s="16">
        <v>0</v>
      </c>
      <c r="K117" s="16">
        <v>0</v>
      </c>
      <c r="L117" s="70">
        <f t="shared" si="23"/>
        <v>0</v>
      </c>
      <c r="M117" s="16">
        <v>4</v>
      </c>
      <c r="N117" s="16">
        <v>1</v>
      </c>
      <c r="O117" s="16">
        <v>0</v>
      </c>
      <c r="P117" s="16">
        <v>1</v>
      </c>
      <c r="Q117" s="16">
        <v>0</v>
      </c>
      <c r="R117" s="16">
        <v>12</v>
      </c>
    </row>
    <row r="118" spans="1:18" x14ac:dyDescent="0.25">
      <c r="A118" s="21">
        <v>42216</v>
      </c>
      <c r="B118" s="20"/>
      <c r="C118" s="15" t="s">
        <v>109</v>
      </c>
      <c r="D118" s="16">
        <v>0</v>
      </c>
      <c r="E118" s="16">
        <v>4</v>
      </c>
      <c r="F118" s="70">
        <f t="shared" si="21"/>
        <v>0</v>
      </c>
      <c r="G118" s="16">
        <v>0</v>
      </c>
      <c r="H118" s="16">
        <v>1</v>
      </c>
      <c r="I118" s="70">
        <f t="shared" si="22"/>
        <v>0</v>
      </c>
      <c r="J118" s="16">
        <v>2</v>
      </c>
      <c r="K118" s="16">
        <v>2</v>
      </c>
      <c r="L118" s="70">
        <f t="shared" si="23"/>
        <v>1</v>
      </c>
      <c r="M118" s="16">
        <v>4</v>
      </c>
      <c r="N118" s="16">
        <v>2</v>
      </c>
      <c r="O118" s="16">
        <v>0</v>
      </c>
      <c r="P118" s="16">
        <v>2</v>
      </c>
      <c r="Q118" s="16">
        <v>0</v>
      </c>
      <c r="R118" s="16">
        <v>2</v>
      </c>
    </row>
    <row r="119" spans="1:18" x14ac:dyDescent="0.25">
      <c r="A119" s="21">
        <v>42216</v>
      </c>
      <c r="B119" s="20"/>
      <c r="C119" s="15" t="s">
        <v>152</v>
      </c>
      <c r="D119" s="16">
        <v>7</v>
      </c>
      <c r="E119" s="16">
        <v>12</v>
      </c>
      <c r="F119" s="70">
        <f t="shared" si="21"/>
        <v>0.58333333333333337</v>
      </c>
      <c r="G119" s="16">
        <v>0</v>
      </c>
      <c r="H119" s="16">
        <v>0</v>
      </c>
      <c r="I119" s="70">
        <f t="shared" si="22"/>
        <v>0</v>
      </c>
      <c r="J119" s="16">
        <v>1</v>
      </c>
      <c r="K119" s="16">
        <v>1</v>
      </c>
      <c r="L119" s="70">
        <f t="shared" si="23"/>
        <v>1</v>
      </c>
      <c r="M119" s="16">
        <v>6</v>
      </c>
      <c r="N119" s="16">
        <v>0</v>
      </c>
      <c r="O119" s="16">
        <v>0</v>
      </c>
      <c r="P119" s="16">
        <v>2</v>
      </c>
      <c r="Q119" s="16">
        <v>0</v>
      </c>
      <c r="R119" s="16">
        <v>15</v>
      </c>
    </row>
    <row r="120" spans="1:18" s="6" customFormat="1" x14ac:dyDescent="0.25">
      <c r="A120" s="21">
        <v>42216</v>
      </c>
      <c r="B120" s="20"/>
      <c r="C120" s="15" t="s">
        <v>157</v>
      </c>
      <c r="D120" s="16">
        <v>2</v>
      </c>
      <c r="E120" s="16">
        <v>3</v>
      </c>
      <c r="F120" s="70">
        <f t="shared" si="21"/>
        <v>0.66666666666666663</v>
      </c>
      <c r="G120" s="16">
        <v>0</v>
      </c>
      <c r="H120" s="16">
        <v>0</v>
      </c>
      <c r="I120" s="70">
        <f t="shared" si="22"/>
        <v>0</v>
      </c>
      <c r="J120" s="16">
        <v>3</v>
      </c>
      <c r="K120" s="16">
        <v>4</v>
      </c>
      <c r="L120" s="70">
        <f t="shared" si="23"/>
        <v>0.75</v>
      </c>
      <c r="M120" s="16">
        <v>6</v>
      </c>
      <c r="N120" s="16">
        <v>0</v>
      </c>
      <c r="O120" s="16">
        <v>0</v>
      </c>
      <c r="P120" s="16">
        <v>4</v>
      </c>
      <c r="Q120" s="16">
        <v>1</v>
      </c>
      <c r="R120" s="16">
        <v>7</v>
      </c>
    </row>
    <row r="121" spans="1:18" x14ac:dyDescent="0.25">
      <c r="A121" s="73">
        <v>42217</v>
      </c>
      <c r="B121" s="20"/>
      <c r="C121" s="20" t="s">
        <v>134</v>
      </c>
      <c r="D121" s="16">
        <v>0</v>
      </c>
      <c r="E121" s="16">
        <v>3</v>
      </c>
      <c r="F121" s="75">
        <f t="shared" ref="F121:F127" si="24">IF(E121=0,0,D121/E121)</f>
        <v>0</v>
      </c>
      <c r="G121" s="16">
        <v>0</v>
      </c>
      <c r="H121" s="16">
        <v>0</v>
      </c>
      <c r="I121" s="75">
        <f t="shared" ref="I121:I127" si="25">IF(H121=0,0,G121/H121)</f>
        <v>0</v>
      </c>
      <c r="J121" s="16">
        <v>0</v>
      </c>
      <c r="K121" s="16">
        <v>0</v>
      </c>
      <c r="L121" s="75">
        <f t="shared" ref="L121:L127" si="26">IF(K121=0,0,J121/K121)</f>
        <v>0</v>
      </c>
      <c r="M121" s="16">
        <v>1</v>
      </c>
      <c r="N121" s="16">
        <v>1</v>
      </c>
      <c r="O121" s="16">
        <v>0</v>
      </c>
      <c r="P121" s="16">
        <v>0</v>
      </c>
      <c r="Q121" s="16">
        <v>0</v>
      </c>
      <c r="R121" s="16">
        <v>0</v>
      </c>
    </row>
    <row r="122" spans="1:18" x14ac:dyDescent="0.25">
      <c r="A122" s="73">
        <v>42218</v>
      </c>
      <c r="B122" s="21"/>
      <c r="C122" s="47" t="s">
        <v>74</v>
      </c>
      <c r="D122" s="23">
        <v>7</v>
      </c>
      <c r="E122" s="23">
        <v>19</v>
      </c>
      <c r="F122" s="38">
        <f t="shared" si="24"/>
        <v>0.36842105263157893</v>
      </c>
      <c r="G122" s="23">
        <v>1</v>
      </c>
      <c r="H122" s="23">
        <v>4</v>
      </c>
      <c r="I122" s="38">
        <f t="shared" si="25"/>
        <v>0.25</v>
      </c>
      <c r="J122" s="23">
        <v>1</v>
      </c>
      <c r="K122" s="23">
        <v>2</v>
      </c>
      <c r="L122" s="38">
        <f t="shared" si="26"/>
        <v>0.5</v>
      </c>
      <c r="M122" s="23">
        <v>7</v>
      </c>
      <c r="N122" s="23">
        <v>3</v>
      </c>
      <c r="O122" s="23">
        <v>1</v>
      </c>
      <c r="P122" s="23">
        <v>4</v>
      </c>
      <c r="Q122" s="23">
        <v>1</v>
      </c>
      <c r="R122" s="25">
        <v>16</v>
      </c>
    </row>
    <row r="123" spans="1:18" x14ac:dyDescent="0.25">
      <c r="A123" s="73">
        <v>42218</v>
      </c>
      <c r="B123" s="21"/>
      <c r="C123" s="47" t="s">
        <v>95</v>
      </c>
      <c r="D123" s="23">
        <v>0</v>
      </c>
      <c r="E123" s="23">
        <v>7</v>
      </c>
      <c r="F123" s="38">
        <f t="shared" si="24"/>
        <v>0</v>
      </c>
      <c r="G123" s="23">
        <v>0</v>
      </c>
      <c r="H123" s="23">
        <v>1</v>
      </c>
      <c r="I123" s="38">
        <f t="shared" si="25"/>
        <v>0</v>
      </c>
      <c r="J123" s="23">
        <v>0</v>
      </c>
      <c r="K123" s="23">
        <v>0</v>
      </c>
      <c r="L123" s="38">
        <f t="shared" si="26"/>
        <v>0</v>
      </c>
      <c r="M123" s="23">
        <v>2</v>
      </c>
      <c r="N123" s="23">
        <v>3</v>
      </c>
      <c r="O123" s="23">
        <v>1</v>
      </c>
      <c r="P123" s="23">
        <v>0</v>
      </c>
      <c r="Q123" s="23">
        <v>0</v>
      </c>
      <c r="R123" s="25">
        <v>0</v>
      </c>
    </row>
    <row r="124" spans="1:18" x14ac:dyDescent="0.25">
      <c r="A124" s="73">
        <v>42218</v>
      </c>
      <c r="B124" s="21"/>
      <c r="C124" s="47" t="s">
        <v>76</v>
      </c>
      <c r="D124" s="23">
        <v>0</v>
      </c>
      <c r="E124" s="23">
        <v>9</v>
      </c>
      <c r="F124" s="38">
        <f t="shared" si="24"/>
        <v>0</v>
      </c>
      <c r="G124" s="23">
        <v>0</v>
      </c>
      <c r="H124" s="23">
        <v>2</v>
      </c>
      <c r="I124" s="38">
        <f t="shared" si="25"/>
        <v>0</v>
      </c>
      <c r="J124" s="23">
        <v>4</v>
      </c>
      <c r="K124" s="23">
        <v>4</v>
      </c>
      <c r="L124" s="38">
        <f t="shared" si="26"/>
        <v>1</v>
      </c>
      <c r="M124" s="23">
        <v>10</v>
      </c>
      <c r="N124" s="23">
        <v>5</v>
      </c>
      <c r="O124" s="23">
        <v>1</v>
      </c>
      <c r="P124" s="23">
        <v>1</v>
      </c>
      <c r="Q124" s="23">
        <v>0</v>
      </c>
      <c r="R124" s="25">
        <v>4</v>
      </c>
    </row>
    <row r="125" spans="1:18" x14ac:dyDescent="0.25">
      <c r="A125" s="73">
        <v>42218</v>
      </c>
      <c r="B125" s="21"/>
      <c r="C125" s="47" t="s">
        <v>75</v>
      </c>
      <c r="D125" s="23">
        <v>9</v>
      </c>
      <c r="E125" s="23">
        <v>16</v>
      </c>
      <c r="F125" s="38">
        <f t="shared" si="24"/>
        <v>0.5625</v>
      </c>
      <c r="G125" s="23">
        <v>0</v>
      </c>
      <c r="H125" s="23">
        <v>0</v>
      </c>
      <c r="I125" s="38">
        <f t="shared" si="25"/>
        <v>0</v>
      </c>
      <c r="J125" s="23">
        <v>2</v>
      </c>
      <c r="K125" s="23">
        <v>4</v>
      </c>
      <c r="L125" s="38">
        <f t="shared" si="26"/>
        <v>0.5</v>
      </c>
      <c r="M125" s="23">
        <v>5</v>
      </c>
      <c r="N125" s="23">
        <v>2</v>
      </c>
      <c r="O125" s="23">
        <v>2</v>
      </c>
      <c r="P125" s="23">
        <v>2</v>
      </c>
      <c r="Q125" s="23">
        <v>2</v>
      </c>
      <c r="R125" s="25">
        <v>20</v>
      </c>
    </row>
    <row r="126" spans="1:18" x14ac:dyDescent="0.25">
      <c r="A126" s="73">
        <v>42218</v>
      </c>
      <c r="B126" s="21"/>
      <c r="C126" s="47" t="s">
        <v>109</v>
      </c>
      <c r="D126" s="23">
        <v>3</v>
      </c>
      <c r="E126" s="23">
        <v>8</v>
      </c>
      <c r="F126" s="38">
        <f t="shared" si="24"/>
        <v>0.375</v>
      </c>
      <c r="G126" s="23">
        <v>2</v>
      </c>
      <c r="H126" s="23">
        <v>3</v>
      </c>
      <c r="I126" s="38">
        <f t="shared" si="25"/>
        <v>0.66666666666666663</v>
      </c>
      <c r="J126" s="23">
        <v>1</v>
      </c>
      <c r="K126" s="23">
        <v>2</v>
      </c>
      <c r="L126" s="38">
        <f t="shared" si="26"/>
        <v>0.5</v>
      </c>
      <c r="M126" s="23">
        <v>4</v>
      </c>
      <c r="N126" s="23">
        <v>4</v>
      </c>
      <c r="O126" s="23">
        <v>0</v>
      </c>
      <c r="P126" s="23">
        <v>4</v>
      </c>
      <c r="Q126" s="23">
        <v>0</v>
      </c>
      <c r="R126" s="25">
        <v>9</v>
      </c>
    </row>
    <row r="127" spans="1:18" x14ac:dyDescent="0.25">
      <c r="A127" s="73">
        <v>42218</v>
      </c>
      <c r="B127" s="21"/>
      <c r="C127" s="47" t="s">
        <v>152</v>
      </c>
      <c r="D127" s="23">
        <v>2</v>
      </c>
      <c r="E127" s="23">
        <v>8</v>
      </c>
      <c r="F127" s="38">
        <f t="shared" si="24"/>
        <v>0.25</v>
      </c>
      <c r="G127" s="23">
        <v>0</v>
      </c>
      <c r="H127" s="23">
        <v>0</v>
      </c>
      <c r="I127" s="38">
        <f t="shared" si="25"/>
        <v>0</v>
      </c>
      <c r="J127" s="23">
        <v>2</v>
      </c>
      <c r="K127" s="23">
        <v>2</v>
      </c>
      <c r="L127" s="38">
        <f t="shared" si="26"/>
        <v>1</v>
      </c>
      <c r="M127" s="23">
        <v>6</v>
      </c>
      <c r="N127" s="23">
        <v>0</v>
      </c>
      <c r="O127" s="23">
        <v>0</v>
      </c>
      <c r="P127" s="23">
        <v>1</v>
      </c>
      <c r="Q127" s="23">
        <v>1</v>
      </c>
      <c r="R127" s="25">
        <v>6</v>
      </c>
    </row>
    <row r="128" spans="1:18" x14ac:dyDescent="0.25">
      <c r="A128" s="73">
        <v>42220</v>
      </c>
      <c r="B128" s="21"/>
      <c r="C128" s="22" t="s">
        <v>75</v>
      </c>
      <c r="D128" s="23">
        <v>8</v>
      </c>
      <c r="E128" s="23">
        <v>12</v>
      </c>
      <c r="F128" s="38">
        <f t="shared" ref="F128:F145" si="27">IF(E128=0,0,D128/E128)</f>
        <v>0.66666666666666663</v>
      </c>
      <c r="G128" s="23">
        <v>0</v>
      </c>
      <c r="H128" s="23">
        <v>0</v>
      </c>
      <c r="I128" s="38">
        <f t="shared" ref="I128:I145" si="28">IF(H128=0,0,G128/H128)</f>
        <v>0</v>
      </c>
      <c r="J128" s="23">
        <v>1</v>
      </c>
      <c r="K128" s="23">
        <v>3</v>
      </c>
      <c r="L128" s="38">
        <f t="shared" ref="L128:L145" si="29">IF(K128=0,0,J128/K128)</f>
        <v>0.33333333333333331</v>
      </c>
      <c r="M128" s="23">
        <v>10</v>
      </c>
      <c r="N128" s="23">
        <v>6</v>
      </c>
      <c r="O128" s="23">
        <v>0</v>
      </c>
      <c r="P128" s="23">
        <v>2</v>
      </c>
      <c r="Q128" s="23">
        <v>0</v>
      </c>
      <c r="R128" s="25">
        <v>17</v>
      </c>
    </row>
    <row r="129" spans="1:18" x14ac:dyDescent="0.25">
      <c r="A129" s="73">
        <v>42220</v>
      </c>
      <c r="B129" s="21"/>
      <c r="C129" s="22" t="s">
        <v>109</v>
      </c>
      <c r="D129" s="23">
        <v>2</v>
      </c>
      <c r="E129" s="23">
        <v>6</v>
      </c>
      <c r="F129" s="38">
        <f t="shared" si="27"/>
        <v>0.33333333333333331</v>
      </c>
      <c r="G129" s="23">
        <v>2</v>
      </c>
      <c r="H129" s="23">
        <v>5</v>
      </c>
      <c r="I129" s="38">
        <f t="shared" si="28"/>
        <v>0.4</v>
      </c>
      <c r="J129" s="23">
        <v>0</v>
      </c>
      <c r="K129" s="23">
        <v>0</v>
      </c>
      <c r="L129" s="38">
        <f t="shared" si="29"/>
        <v>0</v>
      </c>
      <c r="M129" s="23">
        <v>4</v>
      </c>
      <c r="N129" s="23">
        <v>4</v>
      </c>
      <c r="O129" s="23">
        <v>0</v>
      </c>
      <c r="P129" s="23">
        <v>2</v>
      </c>
      <c r="Q129" s="23">
        <v>0</v>
      </c>
      <c r="R129" s="25">
        <v>6</v>
      </c>
    </row>
    <row r="130" spans="1:18" x14ac:dyDescent="0.25">
      <c r="A130" s="73">
        <v>42220</v>
      </c>
      <c r="B130" s="21"/>
      <c r="C130" s="22" t="s">
        <v>77</v>
      </c>
      <c r="D130" s="23">
        <v>2</v>
      </c>
      <c r="E130" s="23">
        <v>4</v>
      </c>
      <c r="F130" s="38">
        <f t="shared" si="27"/>
        <v>0.5</v>
      </c>
      <c r="G130" s="23">
        <v>0</v>
      </c>
      <c r="H130" s="23">
        <v>1</v>
      </c>
      <c r="I130" s="38">
        <f t="shared" si="28"/>
        <v>0</v>
      </c>
      <c r="J130" s="23">
        <v>3</v>
      </c>
      <c r="K130" s="23">
        <v>4</v>
      </c>
      <c r="L130" s="38">
        <f t="shared" si="29"/>
        <v>0.75</v>
      </c>
      <c r="M130" s="23">
        <v>1</v>
      </c>
      <c r="N130" s="23">
        <v>1</v>
      </c>
      <c r="O130" s="23">
        <v>1</v>
      </c>
      <c r="P130" s="23">
        <v>4</v>
      </c>
      <c r="Q130" s="23">
        <v>0</v>
      </c>
      <c r="R130" s="25">
        <v>7</v>
      </c>
    </row>
    <row r="131" spans="1:18" x14ac:dyDescent="0.25">
      <c r="A131" s="73">
        <v>42220</v>
      </c>
      <c r="B131" s="21"/>
      <c r="C131" s="22" t="s">
        <v>76</v>
      </c>
      <c r="D131" s="23">
        <v>6</v>
      </c>
      <c r="E131" s="23">
        <v>16</v>
      </c>
      <c r="F131" s="38">
        <f t="shared" si="27"/>
        <v>0.375</v>
      </c>
      <c r="G131" s="23">
        <v>3</v>
      </c>
      <c r="H131" s="23">
        <v>5</v>
      </c>
      <c r="I131" s="38">
        <f t="shared" si="28"/>
        <v>0.6</v>
      </c>
      <c r="J131" s="23">
        <v>10</v>
      </c>
      <c r="K131" s="23">
        <v>10</v>
      </c>
      <c r="L131" s="38">
        <f t="shared" si="29"/>
        <v>1</v>
      </c>
      <c r="M131" s="23">
        <v>8</v>
      </c>
      <c r="N131" s="23">
        <v>3</v>
      </c>
      <c r="O131" s="23">
        <v>2</v>
      </c>
      <c r="P131" s="23">
        <v>2</v>
      </c>
      <c r="Q131" s="23">
        <v>2</v>
      </c>
      <c r="R131" s="25">
        <v>25</v>
      </c>
    </row>
    <row r="132" spans="1:18" x14ac:dyDescent="0.25">
      <c r="A132" s="73">
        <v>42221</v>
      </c>
      <c r="B132" s="20"/>
      <c r="C132" s="15" t="s">
        <v>152</v>
      </c>
      <c r="D132" s="16">
        <v>1</v>
      </c>
      <c r="E132" s="16">
        <v>4</v>
      </c>
      <c r="F132" s="76">
        <f t="shared" si="27"/>
        <v>0.25</v>
      </c>
      <c r="G132" s="16">
        <v>0</v>
      </c>
      <c r="H132" s="16">
        <v>0</v>
      </c>
      <c r="I132" s="76">
        <f t="shared" si="28"/>
        <v>0</v>
      </c>
      <c r="J132" s="16">
        <v>0</v>
      </c>
      <c r="K132" s="16">
        <v>0</v>
      </c>
      <c r="L132" s="76">
        <f t="shared" si="29"/>
        <v>0</v>
      </c>
      <c r="M132" s="16">
        <v>10</v>
      </c>
      <c r="N132" s="16">
        <v>0</v>
      </c>
      <c r="O132" s="16">
        <v>0</v>
      </c>
      <c r="P132" s="16">
        <v>1</v>
      </c>
      <c r="Q132" s="16">
        <v>2</v>
      </c>
      <c r="R132" s="16">
        <v>2</v>
      </c>
    </row>
    <row r="133" spans="1:18" x14ac:dyDescent="0.25">
      <c r="A133" s="73">
        <v>42222</v>
      </c>
      <c r="B133" s="20"/>
      <c r="C133" s="15" t="s">
        <v>134</v>
      </c>
      <c r="D133" s="16">
        <v>2</v>
      </c>
      <c r="E133" s="16">
        <v>5</v>
      </c>
      <c r="F133" s="76">
        <f t="shared" si="27"/>
        <v>0.4</v>
      </c>
      <c r="G133" s="16">
        <v>0</v>
      </c>
      <c r="H133" s="16">
        <v>0</v>
      </c>
      <c r="I133" s="76">
        <f t="shared" si="28"/>
        <v>0</v>
      </c>
      <c r="J133" s="16">
        <v>1</v>
      </c>
      <c r="K133" s="16">
        <v>2</v>
      </c>
      <c r="L133" s="76">
        <f t="shared" si="29"/>
        <v>0.5</v>
      </c>
      <c r="M133" s="16">
        <v>0</v>
      </c>
      <c r="N133" s="16">
        <v>0</v>
      </c>
      <c r="O133" s="16">
        <v>0</v>
      </c>
      <c r="P133" s="16">
        <v>2</v>
      </c>
      <c r="Q133" s="16">
        <v>0</v>
      </c>
      <c r="R133" s="16">
        <v>5</v>
      </c>
    </row>
    <row r="134" spans="1:18" x14ac:dyDescent="0.25">
      <c r="A134" s="73">
        <v>42223</v>
      </c>
      <c r="B134" s="20"/>
      <c r="C134" s="15" t="s">
        <v>152</v>
      </c>
      <c r="D134" s="16">
        <v>3</v>
      </c>
      <c r="E134" s="16">
        <v>3</v>
      </c>
      <c r="F134" s="76">
        <f t="shared" si="27"/>
        <v>1</v>
      </c>
      <c r="G134" s="16">
        <v>0</v>
      </c>
      <c r="H134" s="16">
        <v>0</v>
      </c>
      <c r="I134" s="76">
        <f t="shared" si="28"/>
        <v>0</v>
      </c>
      <c r="J134" s="16">
        <v>1</v>
      </c>
      <c r="K134" s="16">
        <v>2</v>
      </c>
      <c r="L134" s="76">
        <f t="shared" si="29"/>
        <v>0.5</v>
      </c>
      <c r="M134" s="16">
        <v>5</v>
      </c>
      <c r="N134" s="16">
        <v>1</v>
      </c>
      <c r="O134" s="16">
        <v>0</v>
      </c>
      <c r="P134" s="16">
        <v>1</v>
      </c>
      <c r="Q134" s="16">
        <v>0</v>
      </c>
      <c r="R134" s="16">
        <v>7</v>
      </c>
    </row>
    <row r="135" spans="1:18" x14ac:dyDescent="0.25">
      <c r="A135" s="73">
        <v>42223</v>
      </c>
      <c r="B135" s="21"/>
      <c r="C135" s="22" t="s">
        <v>75</v>
      </c>
      <c r="D135" s="23">
        <v>5</v>
      </c>
      <c r="E135" s="23">
        <v>6</v>
      </c>
      <c r="F135" s="38">
        <f t="shared" si="27"/>
        <v>0.83333333333333337</v>
      </c>
      <c r="G135" s="23">
        <v>0</v>
      </c>
      <c r="H135" s="23">
        <v>0</v>
      </c>
      <c r="I135" s="38">
        <f t="shared" si="28"/>
        <v>0</v>
      </c>
      <c r="J135" s="23">
        <v>0</v>
      </c>
      <c r="K135" s="23">
        <v>0</v>
      </c>
      <c r="L135" s="38">
        <f t="shared" si="29"/>
        <v>0</v>
      </c>
      <c r="M135" s="23">
        <v>9</v>
      </c>
      <c r="N135" s="23">
        <v>0</v>
      </c>
      <c r="O135" s="23">
        <v>1</v>
      </c>
      <c r="P135" s="23">
        <v>1</v>
      </c>
      <c r="Q135" s="23">
        <v>0</v>
      </c>
      <c r="R135" s="25">
        <v>10</v>
      </c>
    </row>
    <row r="136" spans="1:18" x14ac:dyDescent="0.25">
      <c r="A136" s="73">
        <v>42223</v>
      </c>
      <c r="B136" s="21"/>
      <c r="C136" s="22" t="s">
        <v>74</v>
      </c>
      <c r="D136" s="23">
        <v>6</v>
      </c>
      <c r="E136" s="23">
        <v>16</v>
      </c>
      <c r="F136" s="38">
        <f t="shared" si="27"/>
        <v>0.375</v>
      </c>
      <c r="G136" s="23">
        <v>0</v>
      </c>
      <c r="H136" s="23">
        <v>0</v>
      </c>
      <c r="I136" s="38">
        <f t="shared" si="28"/>
        <v>0</v>
      </c>
      <c r="J136" s="23">
        <v>11</v>
      </c>
      <c r="K136" s="23">
        <v>12</v>
      </c>
      <c r="L136" s="38">
        <f t="shared" si="29"/>
        <v>0.91666666666666663</v>
      </c>
      <c r="M136" s="23">
        <v>8</v>
      </c>
      <c r="N136" s="23">
        <v>3</v>
      </c>
      <c r="O136" s="23">
        <v>2</v>
      </c>
      <c r="P136" s="23">
        <v>1</v>
      </c>
      <c r="Q136" s="23">
        <v>1</v>
      </c>
      <c r="R136" s="25">
        <v>23</v>
      </c>
    </row>
    <row r="137" spans="1:18" x14ac:dyDescent="0.25">
      <c r="A137" s="73">
        <v>42223</v>
      </c>
      <c r="B137" s="21"/>
      <c r="C137" s="22" t="s">
        <v>77</v>
      </c>
      <c r="D137" s="23">
        <v>3</v>
      </c>
      <c r="E137" s="23">
        <v>5</v>
      </c>
      <c r="F137" s="38">
        <f t="shared" si="27"/>
        <v>0.6</v>
      </c>
      <c r="G137" s="23">
        <v>1</v>
      </c>
      <c r="H137" s="23">
        <v>2</v>
      </c>
      <c r="I137" s="38">
        <f t="shared" si="28"/>
        <v>0.5</v>
      </c>
      <c r="J137" s="23">
        <v>3</v>
      </c>
      <c r="K137" s="23">
        <v>4</v>
      </c>
      <c r="L137" s="38">
        <f t="shared" si="29"/>
        <v>0.75</v>
      </c>
      <c r="M137" s="23">
        <v>1</v>
      </c>
      <c r="N137" s="23">
        <v>3</v>
      </c>
      <c r="O137" s="23">
        <v>3</v>
      </c>
      <c r="P137" s="23">
        <v>1</v>
      </c>
      <c r="Q137" s="23">
        <v>0</v>
      </c>
      <c r="R137" s="25">
        <v>10</v>
      </c>
    </row>
    <row r="138" spans="1:18" x14ac:dyDescent="0.25">
      <c r="A138" s="73">
        <v>42223</v>
      </c>
      <c r="B138" s="21"/>
      <c r="C138" s="22" t="s">
        <v>76</v>
      </c>
      <c r="D138" s="23">
        <v>3</v>
      </c>
      <c r="E138" s="23">
        <v>10</v>
      </c>
      <c r="F138" s="38">
        <f t="shared" si="27"/>
        <v>0.3</v>
      </c>
      <c r="G138" s="23">
        <v>0</v>
      </c>
      <c r="H138" s="23">
        <v>3</v>
      </c>
      <c r="I138" s="38">
        <f t="shared" si="28"/>
        <v>0</v>
      </c>
      <c r="J138" s="23">
        <v>9</v>
      </c>
      <c r="K138" s="23">
        <v>12</v>
      </c>
      <c r="L138" s="38">
        <f t="shared" si="29"/>
        <v>0.75</v>
      </c>
      <c r="M138" s="23">
        <v>3</v>
      </c>
      <c r="N138" s="23">
        <v>4</v>
      </c>
      <c r="O138" s="23">
        <v>1</v>
      </c>
      <c r="P138" s="23">
        <v>2</v>
      </c>
      <c r="Q138" s="23">
        <v>2</v>
      </c>
      <c r="R138" s="25">
        <v>15</v>
      </c>
    </row>
    <row r="139" spans="1:18" x14ac:dyDescent="0.25">
      <c r="A139" s="73">
        <v>42223</v>
      </c>
      <c r="B139" s="21"/>
      <c r="C139" s="22" t="s">
        <v>112</v>
      </c>
      <c r="D139" s="23">
        <v>0</v>
      </c>
      <c r="E139" s="23">
        <v>3</v>
      </c>
      <c r="F139" s="38">
        <f t="shared" si="27"/>
        <v>0</v>
      </c>
      <c r="G139" s="23">
        <v>0</v>
      </c>
      <c r="H139" s="23">
        <v>1</v>
      </c>
      <c r="I139" s="38">
        <f t="shared" si="28"/>
        <v>0</v>
      </c>
      <c r="J139" s="23">
        <v>2</v>
      </c>
      <c r="K139" s="23">
        <v>2</v>
      </c>
      <c r="L139" s="38">
        <f t="shared" si="29"/>
        <v>1</v>
      </c>
      <c r="M139" s="23">
        <v>2</v>
      </c>
      <c r="N139" s="23">
        <v>0</v>
      </c>
      <c r="O139" s="23">
        <v>2</v>
      </c>
      <c r="P139" s="23">
        <v>0</v>
      </c>
      <c r="Q139" s="23">
        <v>0</v>
      </c>
      <c r="R139" s="25">
        <v>2</v>
      </c>
    </row>
    <row r="140" spans="1:18" x14ac:dyDescent="0.25">
      <c r="A140" s="71">
        <v>42225</v>
      </c>
      <c r="B140" s="21"/>
      <c r="C140" s="22" t="s">
        <v>76</v>
      </c>
      <c r="D140" s="23">
        <v>3</v>
      </c>
      <c r="E140" s="23">
        <v>13</v>
      </c>
      <c r="F140" s="38">
        <f t="shared" si="27"/>
        <v>0.23076923076923078</v>
      </c>
      <c r="G140" s="23">
        <v>0</v>
      </c>
      <c r="H140" s="23">
        <v>5</v>
      </c>
      <c r="I140" s="38">
        <f t="shared" si="28"/>
        <v>0</v>
      </c>
      <c r="J140" s="23">
        <v>4</v>
      </c>
      <c r="K140" s="23">
        <v>4</v>
      </c>
      <c r="L140" s="38">
        <f t="shared" si="29"/>
        <v>1</v>
      </c>
      <c r="M140" s="23">
        <v>4</v>
      </c>
      <c r="N140" s="23">
        <v>5</v>
      </c>
      <c r="O140" s="23">
        <v>2</v>
      </c>
      <c r="P140" s="23">
        <v>0</v>
      </c>
      <c r="Q140" s="23">
        <v>0</v>
      </c>
      <c r="R140" s="25">
        <v>10</v>
      </c>
    </row>
    <row r="141" spans="1:18" x14ac:dyDescent="0.25">
      <c r="A141" s="71">
        <v>42225</v>
      </c>
      <c r="B141" s="21"/>
      <c r="C141" s="22" t="s">
        <v>112</v>
      </c>
      <c r="D141" s="23">
        <v>0</v>
      </c>
      <c r="E141" s="23">
        <v>0</v>
      </c>
      <c r="F141" s="38">
        <f t="shared" si="27"/>
        <v>0</v>
      </c>
      <c r="G141" s="23">
        <v>0</v>
      </c>
      <c r="H141" s="23">
        <v>0</v>
      </c>
      <c r="I141" s="38">
        <f t="shared" si="28"/>
        <v>0</v>
      </c>
      <c r="J141" s="23">
        <v>0</v>
      </c>
      <c r="K141" s="23">
        <v>0</v>
      </c>
      <c r="L141" s="38">
        <f t="shared" si="29"/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5">
        <v>0</v>
      </c>
    </row>
    <row r="142" spans="1:18" x14ac:dyDescent="0.25">
      <c r="A142" s="71">
        <v>42225</v>
      </c>
      <c r="B142" s="21"/>
      <c r="C142" s="22" t="s">
        <v>75</v>
      </c>
      <c r="D142" s="23">
        <v>5</v>
      </c>
      <c r="E142" s="23">
        <v>15</v>
      </c>
      <c r="F142" s="38">
        <f t="shared" si="27"/>
        <v>0.33333333333333331</v>
      </c>
      <c r="G142" s="23">
        <v>0</v>
      </c>
      <c r="H142" s="23">
        <v>1</v>
      </c>
      <c r="I142" s="38">
        <f t="shared" si="28"/>
        <v>0</v>
      </c>
      <c r="J142" s="23">
        <v>9</v>
      </c>
      <c r="K142" s="23">
        <v>10</v>
      </c>
      <c r="L142" s="38">
        <f t="shared" si="29"/>
        <v>0.9</v>
      </c>
      <c r="M142" s="23">
        <v>3</v>
      </c>
      <c r="N142" s="23">
        <v>1</v>
      </c>
      <c r="O142" s="23">
        <v>1</v>
      </c>
      <c r="P142" s="23">
        <v>0</v>
      </c>
      <c r="Q142" s="23">
        <v>0</v>
      </c>
      <c r="R142" s="25">
        <v>19</v>
      </c>
    </row>
    <row r="143" spans="1:18" x14ac:dyDescent="0.25">
      <c r="A143" s="71">
        <v>42225</v>
      </c>
      <c r="B143" s="21"/>
      <c r="C143" s="22" t="s">
        <v>109</v>
      </c>
      <c r="D143" s="23">
        <v>4</v>
      </c>
      <c r="E143" s="23">
        <v>11</v>
      </c>
      <c r="F143" s="38">
        <f t="shared" si="27"/>
        <v>0.36363636363636365</v>
      </c>
      <c r="G143" s="23">
        <v>2</v>
      </c>
      <c r="H143" s="23">
        <v>4</v>
      </c>
      <c r="I143" s="38">
        <f t="shared" si="28"/>
        <v>0.5</v>
      </c>
      <c r="J143" s="23">
        <v>0</v>
      </c>
      <c r="K143" s="23">
        <v>0</v>
      </c>
      <c r="L143" s="38">
        <f t="shared" si="29"/>
        <v>0</v>
      </c>
      <c r="M143" s="23">
        <v>2</v>
      </c>
      <c r="N143" s="23">
        <v>2</v>
      </c>
      <c r="O143" s="23">
        <v>1</v>
      </c>
      <c r="P143" s="23">
        <v>2</v>
      </c>
      <c r="Q143" s="23">
        <v>0</v>
      </c>
      <c r="R143" s="25">
        <v>10</v>
      </c>
    </row>
    <row r="144" spans="1:18" x14ac:dyDescent="0.25">
      <c r="A144" s="71">
        <v>42225</v>
      </c>
      <c r="B144" s="21"/>
      <c r="C144" s="22" t="s">
        <v>74</v>
      </c>
      <c r="D144" s="23">
        <v>8</v>
      </c>
      <c r="E144" s="23">
        <v>11</v>
      </c>
      <c r="F144" s="38">
        <f t="shared" si="27"/>
        <v>0.72727272727272729</v>
      </c>
      <c r="G144" s="23">
        <v>1</v>
      </c>
      <c r="H144" s="23">
        <v>1</v>
      </c>
      <c r="I144" s="38">
        <f t="shared" si="28"/>
        <v>1</v>
      </c>
      <c r="J144" s="23">
        <v>6</v>
      </c>
      <c r="K144" s="23">
        <v>8</v>
      </c>
      <c r="L144" s="38">
        <f t="shared" si="29"/>
        <v>0.75</v>
      </c>
      <c r="M144" s="23">
        <v>9</v>
      </c>
      <c r="N144" s="23">
        <v>4</v>
      </c>
      <c r="O144" s="23">
        <v>1</v>
      </c>
      <c r="P144" s="23">
        <v>3</v>
      </c>
      <c r="Q144" s="23">
        <v>0</v>
      </c>
      <c r="R144" s="25">
        <v>23</v>
      </c>
    </row>
    <row r="145" spans="1:18" x14ac:dyDescent="0.25">
      <c r="A145" s="71">
        <v>42225</v>
      </c>
      <c r="B145" s="21"/>
      <c r="C145" s="22" t="s">
        <v>152</v>
      </c>
      <c r="D145" s="23">
        <v>2</v>
      </c>
      <c r="E145" s="23">
        <v>4</v>
      </c>
      <c r="F145" s="38">
        <f t="shared" si="27"/>
        <v>0.5</v>
      </c>
      <c r="G145" s="23">
        <v>0</v>
      </c>
      <c r="H145" s="23">
        <v>0</v>
      </c>
      <c r="I145" s="38">
        <f t="shared" si="28"/>
        <v>0</v>
      </c>
      <c r="J145" s="23">
        <v>1</v>
      </c>
      <c r="K145" s="23">
        <v>2</v>
      </c>
      <c r="L145" s="38">
        <f t="shared" si="29"/>
        <v>0.5</v>
      </c>
      <c r="M145" s="23">
        <v>2</v>
      </c>
      <c r="N145" s="23">
        <v>0</v>
      </c>
      <c r="O145" s="23">
        <v>0</v>
      </c>
      <c r="P145" s="23">
        <v>0</v>
      </c>
      <c r="Q145" s="23">
        <v>0</v>
      </c>
      <c r="R145" s="25">
        <v>5</v>
      </c>
    </row>
    <row r="146" spans="1:18" x14ac:dyDescent="0.25">
      <c r="A146" s="79">
        <v>42227</v>
      </c>
      <c r="B146" s="61"/>
      <c r="C146" s="66" t="s">
        <v>112</v>
      </c>
      <c r="D146" s="67">
        <v>1</v>
      </c>
      <c r="E146" s="67">
        <v>3</v>
      </c>
      <c r="F146" s="68">
        <f t="shared" ref="F146:F157" si="30">IF(E146=0,0,D146/E146)</f>
        <v>0.33333333333333331</v>
      </c>
      <c r="G146" s="67">
        <v>0</v>
      </c>
      <c r="H146" s="67">
        <v>1</v>
      </c>
      <c r="I146" s="68">
        <f t="shared" ref="I146:I157" si="31">IF(H146=0,0,G146/H146)</f>
        <v>0</v>
      </c>
      <c r="J146" s="67">
        <v>0</v>
      </c>
      <c r="K146" s="67">
        <v>0</v>
      </c>
      <c r="L146" s="68">
        <f t="shared" ref="L146:L157" si="32">IF(K146=0,0,J146/K146)</f>
        <v>0</v>
      </c>
      <c r="M146" s="67">
        <v>2</v>
      </c>
      <c r="N146" s="67">
        <v>1</v>
      </c>
      <c r="O146" s="67">
        <v>0</v>
      </c>
      <c r="P146" s="67">
        <v>2</v>
      </c>
      <c r="Q146" s="67">
        <v>0</v>
      </c>
      <c r="R146" s="69">
        <v>2</v>
      </c>
    </row>
    <row r="147" spans="1:18" x14ac:dyDescent="0.25">
      <c r="A147" s="79">
        <v>42227</v>
      </c>
      <c r="B147" s="60"/>
      <c r="C147" s="59" t="s">
        <v>77</v>
      </c>
      <c r="D147" s="57">
        <v>2</v>
      </c>
      <c r="E147" s="57">
        <v>4</v>
      </c>
      <c r="F147" s="78">
        <f t="shared" si="30"/>
        <v>0.5</v>
      </c>
      <c r="G147" s="57">
        <v>0</v>
      </c>
      <c r="H147" s="57">
        <v>0</v>
      </c>
      <c r="I147" s="78">
        <f t="shared" si="31"/>
        <v>0</v>
      </c>
      <c r="J147" s="57">
        <v>0</v>
      </c>
      <c r="K147" s="57">
        <v>0</v>
      </c>
      <c r="L147" s="78">
        <f t="shared" si="32"/>
        <v>0</v>
      </c>
      <c r="M147" s="57">
        <v>3</v>
      </c>
      <c r="N147" s="57">
        <v>6</v>
      </c>
      <c r="O147" s="57">
        <v>0</v>
      </c>
      <c r="P147" s="57">
        <v>3</v>
      </c>
      <c r="Q147" s="57">
        <v>0</v>
      </c>
      <c r="R147" s="57">
        <v>4</v>
      </c>
    </row>
    <row r="148" spans="1:18" x14ac:dyDescent="0.25">
      <c r="A148" s="79">
        <v>42227</v>
      </c>
      <c r="B148" s="60"/>
      <c r="C148" s="59" t="s">
        <v>95</v>
      </c>
      <c r="D148" s="57">
        <v>1</v>
      </c>
      <c r="E148" s="57">
        <v>2</v>
      </c>
      <c r="F148" s="78">
        <f t="shared" si="30"/>
        <v>0.5</v>
      </c>
      <c r="G148" s="57">
        <v>1</v>
      </c>
      <c r="H148" s="57">
        <v>1</v>
      </c>
      <c r="I148" s="78">
        <f t="shared" si="31"/>
        <v>1</v>
      </c>
      <c r="J148" s="57">
        <v>2</v>
      </c>
      <c r="K148" s="57">
        <v>2</v>
      </c>
      <c r="L148" s="78">
        <f t="shared" si="32"/>
        <v>1</v>
      </c>
      <c r="M148" s="57">
        <v>1</v>
      </c>
      <c r="N148" s="57">
        <v>3</v>
      </c>
      <c r="O148" s="57">
        <v>2</v>
      </c>
      <c r="P148" s="57">
        <v>0</v>
      </c>
      <c r="Q148" s="57">
        <v>0</v>
      </c>
      <c r="R148" s="57">
        <v>5</v>
      </c>
    </row>
    <row r="149" spans="1:18" x14ac:dyDescent="0.25">
      <c r="A149" s="79">
        <v>42227</v>
      </c>
      <c r="B149" s="60"/>
      <c r="C149" s="59" t="s">
        <v>152</v>
      </c>
      <c r="D149" s="57">
        <v>0</v>
      </c>
      <c r="E149" s="57">
        <v>1</v>
      </c>
      <c r="F149" s="78">
        <f t="shared" si="30"/>
        <v>0</v>
      </c>
      <c r="G149" s="57">
        <v>0</v>
      </c>
      <c r="H149" s="57">
        <v>0</v>
      </c>
      <c r="I149" s="78">
        <f t="shared" si="31"/>
        <v>0</v>
      </c>
      <c r="J149" s="57">
        <v>0</v>
      </c>
      <c r="K149" s="57">
        <v>0</v>
      </c>
      <c r="L149" s="78">
        <f t="shared" si="32"/>
        <v>0</v>
      </c>
      <c r="M149" s="57">
        <v>4</v>
      </c>
      <c r="N149" s="57">
        <v>0</v>
      </c>
      <c r="O149" s="57">
        <v>0</v>
      </c>
      <c r="P149" s="57">
        <v>2</v>
      </c>
      <c r="Q149" s="57">
        <v>1</v>
      </c>
      <c r="R149" s="57">
        <v>0</v>
      </c>
    </row>
    <row r="150" spans="1:18" x14ac:dyDescent="0.25">
      <c r="A150" s="79">
        <v>42228</v>
      </c>
      <c r="B150" s="60"/>
      <c r="C150" s="59" t="s">
        <v>75</v>
      </c>
      <c r="D150" s="57">
        <v>7</v>
      </c>
      <c r="E150" s="57">
        <v>15</v>
      </c>
      <c r="F150" s="78">
        <f t="shared" si="30"/>
        <v>0.46666666666666667</v>
      </c>
      <c r="G150" s="57">
        <v>0</v>
      </c>
      <c r="H150" s="57">
        <v>0</v>
      </c>
      <c r="I150" s="78">
        <f t="shared" si="31"/>
        <v>0</v>
      </c>
      <c r="J150" s="57">
        <v>1</v>
      </c>
      <c r="K150" s="57">
        <v>2</v>
      </c>
      <c r="L150" s="78">
        <f t="shared" si="32"/>
        <v>0.5</v>
      </c>
      <c r="M150" s="57">
        <v>10</v>
      </c>
      <c r="N150" s="57">
        <v>2</v>
      </c>
      <c r="O150" s="57">
        <v>2</v>
      </c>
      <c r="P150" s="57">
        <v>1</v>
      </c>
      <c r="Q150" s="57">
        <v>1</v>
      </c>
      <c r="R150" s="57">
        <v>15</v>
      </c>
    </row>
    <row r="151" spans="1:18" x14ac:dyDescent="0.25">
      <c r="A151" s="79">
        <v>42228</v>
      </c>
      <c r="B151" s="60"/>
      <c r="C151" s="59" t="s">
        <v>109</v>
      </c>
      <c r="D151" s="57">
        <v>3</v>
      </c>
      <c r="E151" s="57">
        <v>8</v>
      </c>
      <c r="F151" s="78">
        <f t="shared" si="30"/>
        <v>0.375</v>
      </c>
      <c r="G151" s="57">
        <v>0</v>
      </c>
      <c r="H151" s="57">
        <v>2</v>
      </c>
      <c r="I151" s="78">
        <f t="shared" si="31"/>
        <v>0</v>
      </c>
      <c r="J151" s="57">
        <v>2</v>
      </c>
      <c r="K151" s="57">
        <v>2</v>
      </c>
      <c r="L151" s="78">
        <f t="shared" si="32"/>
        <v>1</v>
      </c>
      <c r="M151" s="57">
        <v>3</v>
      </c>
      <c r="N151" s="57">
        <v>5</v>
      </c>
      <c r="O151" s="57">
        <v>0</v>
      </c>
      <c r="P151" s="57">
        <v>1</v>
      </c>
      <c r="Q151" s="57">
        <v>1</v>
      </c>
      <c r="R151" s="57">
        <v>8</v>
      </c>
    </row>
    <row r="152" spans="1:18" x14ac:dyDescent="0.25">
      <c r="A152" s="79">
        <v>42228</v>
      </c>
      <c r="B152" s="60"/>
      <c r="C152" s="59" t="s">
        <v>76</v>
      </c>
      <c r="D152" s="57">
        <v>4</v>
      </c>
      <c r="E152" s="57">
        <v>8</v>
      </c>
      <c r="F152" s="78">
        <f t="shared" si="30"/>
        <v>0.5</v>
      </c>
      <c r="G152" s="57">
        <v>2</v>
      </c>
      <c r="H152" s="57">
        <v>4</v>
      </c>
      <c r="I152" s="78">
        <f t="shared" si="31"/>
        <v>0.5</v>
      </c>
      <c r="J152" s="57">
        <v>1</v>
      </c>
      <c r="K152" s="57">
        <v>1</v>
      </c>
      <c r="L152" s="78">
        <f t="shared" si="32"/>
        <v>1</v>
      </c>
      <c r="M152" s="57">
        <v>6</v>
      </c>
      <c r="N152" s="57">
        <v>4</v>
      </c>
      <c r="O152" s="57">
        <v>0</v>
      </c>
      <c r="P152" s="57">
        <v>0</v>
      </c>
      <c r="Q152" s="57">
        <v>0</v>
      </c>
      <c r="R152" s="57">
        <v>11</v>
      </c>
    </row>
    <row r="153" spans="1:18" x14ac:dyDescent="0.25">
      <c r="A153" s="79">
        <v>42230</v>
      </c>
      <c r="B153" s="60"/>
      <c r="C153" s="59" t="s">
        <v>95</v>
      </c>
      <c r="D153" s="57">
        <v>1</v>
      </c>
      <c r="E153" s="57">
        <v>2</v>
      </c>
      <c r="F153" s="78">
        <f t="shared" si="30"/>
        <v>0.5</v>
      </c>
      <c r="G153" s="57">
        <v>0</v>
      </c>
      <c r="H153" s="57">
        <v>0</v>
      </c>
      <c r="I153" s="78">
        <f t="shared" si="31"/>
        <v>0</v>
      </c>
      <c r="J153" s="57">
        <v>0</v>
      </c>
      <c r="K153" s="57">
        <v>0</v>
      </c>
      <c r="L153" s="78">
        <f t="shared" si="32"/>
        <v>0</v>
      </c>
      <c r="M153" s="57">
        <v>0</v>
      </c>
      <c r="N153" s="57">
        <v>1</v>
      </c>
      <c r="O153" s="57">
        <v>1</v>
      </c>
      <c r="P153" s="57">
        <v>0</v>
      </c>
      <c r="Q153" s="57">
        <v>0</v>
      </c>
      <c r="R153" s="57">
        <v>2</v>
      </c>
    </row>
    <row r="154" spans="1:18" x14ac:dyDescent="0.25">
      <c r="A154" s="79">
        <v>42230</v>
      </c>
      <c r="B154" s="60"/>
      <c r="C154" s="59" t="s">
        <v>75</v>
      </c>
      <c r="D154" s="57">
        <v>8</v>
      </c>
      <c r="E154" s="57">
        <v>14</v>
      </c>
      <c r="F154" s="78">
        <f t="shared" si="30"/>
        <v>0.5714285714285714</v>
      </c>
      <c r="G154" s="57">
        <v>0</v>
      </c>
      <c r="H154" s="57">
        <v>1</v>
      </c>
      <c r="I154" s="78">
        <f t="shared" si="31"/>
        <v>0</v>
      </c>
      <c r="J154" s="57">
        <v>1</v>
      </c>
      <c r="K154" s="57">
        <v>2</v>
      </c>
      <c r="L154" s="78">
        <f t="shared" si="32"/>
        <v>0.5</v>
      </c>
      <c r="M154" s="57">
        <v>7</v>
      </c>
      <c r="N154" s="57">
        <v>1</v>
      </c>
      <c r="O154" s="57">
        <v>1</v>
      </c>
      <c r="P154" s="57">
        <v>3</v>
      </c>
      <c r="Q154" s="57">
        <v>0</v>
      </c>
      <c r="R154" s="57">
        <v>17</v>
      </c>
    </row>
    <row r="155" spans="1:18" x14ac:dyDescent="0.25">
      <c r="A155" s="79">
        <v>42230</v>
      </c>
      <c r="B155" s="60"/>
      <c r="C155" s="59" t="s">
        <v>109</v>
      </c>
      <c r="D155" s="57">
        <v>3</v>
      </c>
      <c r="E155" s="57">
        <v>7</v>
      </c>
      <c r="F155" s="78">
        <f t="shared" si="30"/>
        <v>0.42857142857142855</v>
      </c>
      <c r="G155" s="57">
        <v>1</v>
      </c>
      <c r="H155" s="57">
        <v>2</v>
      </c>
      <c r="I155" s="78">
        <f t="shared" si="31"/>
        <v>0.5</v>
      </c>
      <c r="J155" s="57">
        <v>2</v>
      </c>
      <c r="K155" s="57">
        <v>2</v>
      </c>
      <c r="L155" s="78">
        <f t="shared" si="32"/>
        <v>1</v>
      </c>
      <c r="M155" s="57">
        <v>5</v>
      </c>
      <c r="N155" s="57">
        <v>5</v>
      </c>
      <c r="O155" s="57">
        <v>0</v>
      </c>
      <c r="P155" s="57">
        <v>2</v>
      </c>
      <c r="Q155" s="57">
        <v>0</v>
      </c>
      <c r="R155" s="57">
        <v>9</v>
      </c>
    </row>
    <row r="156" spans="1:18" x14ac:dyDescent="0.25">
      <c r="A156" s="79">
        <v>42230</v>
      </c>
      <c r="B156" s="60"/>
      <c r="C156" s="59" t="s">
        <v>74</v>
      </c>
      <c r="D156" s="57">
        <v>10</v>
      </c>
      <c r="E156" s="57">
        <v>24</v>
      </c>
      <c r="F156" s="78">
        <f t="shared" si="30"/>
        <v>0.41666666666666669</v>
      </c>
      <c r="G156" s="57">
        <v>3</v>
      </c>
      <c r="H156" s="57">
        <v>9</v>
      </c>
      <c r="I156" s="78">
        <f t="shared" si="31"/>
        <v>0.33333333333333331</v>
      </c>
      <c r="J156" s="57">
        <v>9</v>
      </c>
      <c r="K156" s="57">
        <v>10</v>
      </c>
      <c r="L156" s="78">
        <f t="shared" si="32"/>
        <v>0.9</v>
      </c>
      <c r="M156" s="57">
        <v>3</v>
      </c>
      <c r="N156" s="57">
        <v>3</v>
      </c>
      <c r="O156" s="57">
        <v>6</v>
      </c>
      <c r="P156" s="57">
        <v>1</v>
      </c>
      <c r="Q156" s="57">
        <v>0</v>
      </c>
      <c r="R156" s="57">
        <v>32</v>
      </c>
    </row>
    <row r="157" spans="1:18" x14ac:dyDescent="0.25">
      <c r="A157" s="79">
        <v>42230</v>
      </c>
      <c r="B157" s="60"/>
      <c r="C157" s="59" t="s">
        <v>94</v>
      </c>
      <c r="D157" s="57">
        <v>2</v>
      </c>
      <c r="E157" s="57">
        <v>6</v>
      </c>
      <c r="F157" s="78">
        <f t="shared" si="30"/>
        <v>0.33333333333333331</v>
      </c>
      <c r="G157" s="57">
        <v>0</v>
      </c>
      <c r="H157" s="57">
        <v>2</v>
      </c>
      <c r="I157" s="78">
        <f t="shared" si="31"/>
        <v>0</v>
      </c>
      <c r="J157" s="57">
        <v>1</v>
      </c>
      <c r="K157" s="57">
        <v>1</v>
      </c>
      <c r="L157" s="78">
        <f t="shared" si="32"/>
        <v>1</v>
      </c>
      <c r="M157" s="57">
        <v>0</v>
      </c>
      <c r="N157" s="57">
        <v>0</v>
      </c>
      <c r="O157" s="57">
        <v>0</v>
      </c>
      <c r="P157" s="57">
        <v>0</v>
      </c>
      <c r="Q157" s="57">
        <v>0</v>
      </c>
      <c r="R157" s="57">
        <v>5</v>
      </c>
    </row>
    <row r="158" spans="1:18" x14ac:dyDescent="0.25">
      <c r="A158" s="43">
        <v>42231</v>
      </c>
      <c r="B158" s="47"/>
      <c r="C158" s="81" t="s">
        <v>95</v>
      </c>
      <c r="D158" s="84">
        <v>6</v>
      </c>
      <c r="E158" s="84">
        <v>11</v>
      </c>
      <c r="F158" s="85">
        <f t="shared" ref="F158:F164" si="33">IF(E158=0,0,D158/E158)</f>
        <v>0.54545454545454541</v>
      </c>
      <c r="G158" s="84">
        <v>2</v>
      </c>
      <c r="H158" s="84">
        <v>5</v>
      </c>
      <c r="I158" s="85">
        <f t="shared" ref="I158:I164" si="34">IF(H158=0,0,G158/H158)</f>
        <v>0.4</v>
      </c>
      <c r="J158" s="84">
        <v>8</v>
      </c>
      <c r="K158" s="84">
        <v>10</v>
      </c>
      <c r="L158" s="85">
        <f t="shared" ref="L158:L164" si="35">IF(K158=0,0,J158/K158)</f>
        <v>0.8</v>
      </c>
      <c r="M158" s="84">
        <v>3</v>
      </c>
      <c r="N158" s="84">
        <v>3</v>
      </c>
      <c r="O158" s="84">
        <v>1</v>
      </c>
      <c r="P158" s="84">
        <v>2</v>
      </c>
      <c r="Q158" s="84">
        <v>0</v>
      </c>
      <c r="R158" s="84">
        <v>22</v>
      </c>
    </row>
    <row r="159" spans="1:18" x14ac:dyDescent="0.25">
      <c r="A159" s="43">
        <v>42232</v>
      </c>
      <c r="B159" s="47"/>
      <c r="C159" s="80" t="s">
        <v>109</v>
      </c>
      <c r="D159" s="84">
        <v>4</v>
      </c>
      <c r="E159" s="84">
        <v>14</v>
      </c>
      <c r="F159" s="85">
        <f t="shared" si="33"/>
        <v>0.2857142857142857</v>
      </c>
      <c r="G159" s="84">
        <v>2</v>
      </c>
      <c r="H159" s="84">
        <v>7</v>
      </c>
      <c r="I159" s="85">
        <f t="shared" si="34"/>
        <v>0.2857142857142857</v>
      </c>
      <c r="J159" s="84">
        <v>0</v>
      </c>
      <c r="K159" s="84">
        <v>0</v>
      </c>
      <c r="L159" s="85">
        <f t="shared" si="35"/>
        <v>0</v>
      </c>
      <c r="M159" s="84">
        <v>3</v>
      </c>
      <c r="N159" s="84">
        <v>4</v>
      </c>
      <c r="O159" s="84">
        <v>0</v>
      </c>
      <c r="P159" s="84">
        <v>5</v>
      </c>
      <c r="Q159" s="84">
        <v>0</v>
      </c>
      <c r="R159" s="84">
        <v>10</v>
      </c>
    </row>
    <row r="160" spans="1:18" x14ac:dyDescent="0.25">
      <c r="A160" s="43">
        <v>42232</v>
      </c>
      <c r="B160" s="47"/>
      <c r="C160" s="80" t="s">
        <v>75</v>
      </c>
      <c r="D160" s="84">
        <v>3</v>
      </c>
      <c r="E160" s="84">
        <v>3</v>
      </c>
      <c r="F160" s="85">
        <f t="shared" si="33"/>
        <v>1</v>
      </c>
      <c r="G160" s="84">
        <v>0</v>
      </c>
      <c r="H160" s="84">
        <v>0</v>
      </c>
      <c r="I160" s="85">
        <f t="shared" si="34"/>
        <v>0</v>
      </c>
      <c r="J160" s="84">
        <v>2</v>
      </c>
      <c r="K160" s="84">
        <v>4</v>
      </c>
      <c r="L160" s="85">
        <f t="shared" si="35"/>
        <v>0.5</v>
      </c>
      <c r="M160" s="84">
        <v>7</v>
      </c>
      <c r="N160" s="84">
        <v>3</v>
      </c>
      <c r="O160" s="84">
        <v>1</v>
      </c>
      <c r="P160" s="84">
        <v>0</v>
      </c>
      <c r="Q160" s="84">
        <v>1</v>
      </c>
      <c r="R160" s="84">
        <v>8</v>
      </c>
    </row>
    <row r="161" spans="1:18" x14ac:dyDescent="0.25">
      <c r="A161" s="43">
        <v>42232</v>
      </c>
      <c r="B161" s="47"/>
      <c r="C161" s="80" t="s">
        <v>74</v>
      </c>
      <c r="D161" s="84">
        <v>6</v>
      </c>
      <c r="E161" s="84">
        <v>17</v>
      </c>
      <c r="F161" s="85">
        <f t="shared" si="33"/>
        <v>0.35294117647058826</v>
      </c>
      <c r="G161" s="84">
        <v>1</v>
      </c>
      <c r="H161" s="84">
        <v>3</v>
      </c>
      <c r="I161" s="85">
        <f t="shared" si="34"/>
        <v>0.33333333333333331</v>
      </c>
      <c r="J161" s="84">
        <v>5</v>
      </c>
      <c r="K161" s="84">
        <v>6</v>
      </c>
      <c r="L161" s="85">
        <f t="shared" si="35"/>
        <v>0.83333333333333337</v>
      </c>
      <c r="M161" s="84">
        <v>1</v>
      </c>
      <c r="N161" s="84">
        <v>1</v>
      </c>
      <c r="O161" s="84">
        <v>1</v>
      </c>
      <c r="P161" s="84">
        <v>3</v>
      </c>
      <c r="Q161" s="84">
        <v>0</v>
      </c>
      <c r="R161" s="84">
        <v>18</v>
      </c>
    </row>
    <row r="162" spans="1:18" x14ac:dyDescent="0.25">
      <c r="A162" s="43">
        <v>42232</v>
      </c>
      <c r="B162" s="47"/>
      <c r="C162" s="80" t="s">
        <v>152</v>
      </c>
      <c r="D162" s="84">
        <v>0</v>
      </c>
      <c r="E162" s="84">
        <v>4</v>
      </c>
      <c r="F162" s="85">
        <f t="shared" si="33"/>
        <v>0</v>
      </c>
      <c r="G162" s="84">
        <v>0</v>
      </c>
      <c r="H162" s="84">
        <v>0</v>
      </c>
      <c r="I162" s="85">
        <f t="shared" si="34"/>
        <v>0</v>
      </c>
      <c r="J162" s="84">
        <v>0</v>
      </c>
      <c r="K162" s="84">
        <v>0</v>
      </c>
      <c r="L162" s="85">
        <f t="shared" si="35"/>
        <v>0</v>
      </c>
      <c r="M162" s="84">
        <v>2</v>
      </c>
      <c r="N162" s="84">
        <v>0</v>
      </c>
      <c r="O162" s="84">
        <v>0</v>
      </c>
      <c r="P162" s="84">
        <v>0</v>
      </c>
      <c r="Q162" s="84">
        <v>0</v>
      </c>
      <c r="R162" s="84">
        <v>0</v>
      </c>
    </row>
    <row r="163" spans="1:18" x14ac:dyDescent="0.25">
      <c r="A163" s="43">
        <v>42232</v>
      </c>
      <c r="B163" s="47"/>
      <c r="C163" s="22" t="s">
        <v>76</v>
      </c>
      <c r="D163" s="84">
        <v>2</v>
      </c>
      <c r="E163" s="84">
        <v>9</v>
      </c>
      <c r="F163" s="85">
        <f t="shared" si="33"/>
        <v>0.22222222222222221</v>
      </c>
      <c r="G163" s="84">
        <v>0</v>
      </c>
      <c r="H163" s="84">
        <v>3</v>
      </c>
      <c r="I163" s="85">
        <f t="shared" si="34"/>
        <v>0</v>
      </c>
      <c r="J163" s="84">
        <v>5</v>
      </c>
      <c r="K163" s="84">
        <v>7</v>
      </c>
      <c r="L163" s="85">
        <f t="shared" si="35"/>
        <v>0.7142857142857143</v>
      </c>
      <c r="M163" s="84">
        <v>4</v>
      </c>
      <c r="N163" s="84">
        <v>3</v>
      </c>
      <c r="O163" s="84">
        <v>2</v>
      </c>
      <c r="P163" s="84">
        <v>0</v>
      </c>
      <c r="Q163" s="84">
        <v>0</v>
      </c>
      <c r="R163" s="84">
        <v>9</v>
      </c>
    </row>
    <row r="164" spans="1:18" x14ac:dyDescent="0.25">
      <c r="A164" s="43">
        <v>42232</v>
      </c>
      <c r="B164" s="47"/>
      <c r="C164" s="22" t="s">
        <v>77</v>
      </c>
      <c r="D164" s="84">
        <v>5</v>
      </c>
      <c r="E164" s="84">
        <v>9</v>
      </c>
      <c r="F164" s="85">
        <f t="shared" si="33"/>
        <v>0.55555555555555558</v>
      </c>
      <c r="G164" s="84">
        <v>1</v>
      </c>
      <c r="H164" s="84">
        <v>2</v>
      </c>
      <c r="I164" s="85">
        <f t="shared" si="34"/>
        <v>0.5</v>
      </c>
      <c r="J164" s="84">
        <v>1</v>
      </c>
      <c r="K164" s="84">
        <v>1</v>
      </c>
      <c r="L164" s="85">
        <f t="shared" si="35"/>
        <v>1</v>
      </c>
      <c r="M164" s="84">
        <v>2</v>
      </c>
      <c r="N164" s="84">
        <v>4</v>
      </c>
      <c r="O164" s="84">
        <v>1</v>
      </c>
      <c r="P164" s="84">
        <v>1</v>
      </c>
      <c r="Q164" s="84">
        <v>1</v>
      </c>
      <c r="R164" s="84">
        <v>12</v>
      </c>
    </row>
    <row r="165" spans="1:18" x14ac:dyDescent="0.25">
      <c r="A165" s="71">
        <v>42234</v>
      </c>
      <c r="B165" s="20"/>
      <c r="C165" s="15" t="s">
        <v>76</v>
      </c>
      <c r="D165" s="16">
        <v>3</v>
      </c>
      <c r="E165" s="16">
        <v>16</v>
      </c>
      <c r="F165" s="96">
        <f t="shared" ref="F165:F180" si="36">IF(E165=0,0,D165/E165)</f>
        <v>0.1875</v>
      </c>
      <c r="G165" s="16">
        <v>0</v>
      </c>
      <c r="H165" s="16">
        <v>5</v>
      </c>
      <c r="I165" s="96">
        <f t="shared" ref="I165:I180" si="37">IF(H165=0,0,G165/H165)</f>
        <v>0</v>
      </c>
      <c r="J165" s="16">
        <v>7</v>
      </c>
      <c r="K165" s="16">
        <v>9</v>
      </c>
      <c r="L165" s="96">
        <f t="shared" ref="L165:L180" si="38">IF(K165=0,0,J165/K165)</f>
        <v>0.77777777777777779</v>
      </c>
      <c r="M165" s="16">
        <v>5</v>
      </c>
      <c r="N165" s="16">
        <v>2</v>
      </c>
      <c r="O165" s="16">
        <v>5</v>
      </c>
      <c r="P165" s="16">
        <v>1</v>
      </c>
      <c r="Q165" s="16">
        <v>0</v>
      </c>
      <c r="R165" s="16">
        <v>13</v>
      </c>
    </row>
    <row r="166" spans="1:18" x14ac:dyDescent="0.25">
      <c r="A166" s="71">
        <v>42234</v>
      </c>
      <c r="B166" s="20"/>
      <c r="C166" s="15" t="s">
        <v>77</v>
      </c>
      <c r="D166" s="16">
        <v>5</v>
      </c>
      <c r="E166" s="16">
        <v>10</v>
      </c>
      <c r="F166" s="96">
        <f t="shared" si="36"/>
        <v>0.5</v>
      </c>
      <c r="G166" s="16">
        <v>2</v>
      </c>
      <c r="H166" s="16">
        <v>3</v>
      </c>
      <c r="I166" s="96">
        <f t="shared" si="37"/>
        <v>0.66666666666666663</v>
      </c>
      <c r="J166" s="16">
        <v>4</v>
      </c>
      <c r="K166" s="16">
        <v>6</v>
      </c>
      <c r="L166" s="96">
        <f t="shared" si="38"/>
        <v>0.66666666666666663</v>
      </c>
      <c r="M166" s="16">
        <v>4</v>
      </c>
      <c r="N166" s="16">
        <v>3</v>
      </c>
      <c r="O166" s="16">
        <v>1</v>
      </c>
      <c r="P166" s="16">
        <v>3</v>
      </c>
      <c r="Q166" s="16">
        <v>0</v>
      </c>
      <c r="R166" s="16">
        <v>16</v>
      </c>
    </row>
    <row r="167" spans="1:18" x14ac:dyDescent="0.25">
      <c r="A167" s="71">
        <v>42235</v>
      </c>
      <c r="B167" s="20"/>
      <c r="C167" s="15" t="s">
        <v>95</v>
      </c>
      <c r="D167" s="16">
        <v>4</v>
      </c>
      <c r="E167" s="16">
        <v>7</v>
      </c>
      <c r="F167" s="96">
        <f t="shared" si="36"/>
        <v>0.5714285714285714</v>
      </c>
      <c r="G167" s="16">
        <v>0</v>
      </c>
      <c r="H167" s="16">
        <v>0</v>
      </c>
      <c r="I167" s="96">
        <f t="shared" si="37"/>
        <v>0</v>
      </c>
      <c r="J167" s="16">
        <v>2</v>
      </c>
      <c r="K167" s="16">
        <v>2</v>
      </c>
      <c r="L167" s="96">
        <f t="shared" si="38"/>
        <v>1</v>
      </c>
      <c r="M167" s="16">
        <v>2</v>
      </c>
      <c r="N167" s="16">
        <v>4</v>
      </c>
      <c r="O167" s="16">
        <v>4</v>
      </c>
      <c r="P167" s="16">
        <v>2</v>
      </c>
      <c r="Q167" s="16">
        <v>0</v>
      </c>
      <c r="R167" s="16">
        <v>10</v>
      </c>
    </row>
    <row r="168" spans="1:18" x14ac:dyDescent="0.25">
      <c r="A168" s="71">
        <v>42235</v>
      </c>
      <c r="B168" s="20"/>
      <c r="C168" s="15" t="s">
        <v>152</v>
      </c>
      <c r="D168" s="16">
        <v>2</v>
      </c>
      <c r="E168" s="16">
        <v>5</v>
      </c>
      <c r="F168" s="96">
        <f t="shared" si="36"/>
        <v>0.4</v>
      </c>
      <c r="G168" s="16">
        <v>0</v>
      </c>
      <c r="H168" s="16">
        <v>0</v>
      </c>
      <c r="I168" s="96">
        <f t="shared" si="37"/>
        <v>0</v>
      </c>
      <c r="J168" s="16">
        <v>0</v>
      </c>
      <c r="K168" s="16">
        <v>0</v>
      </c>
      <c r="L168" s="96">
        <f t="shared" si="38"/>
        <v>0</v>
      </c>
      <c r="M168" s="16">
        <v>7</v>
      </c>
      <c r="N168" s="16">
        <v>3</v>
      </c>
      <c r="O168" s="16">
        <v>0</v>
      </c>
      <c r="P168" s="16">
        <v>0</v>
      </c>
      <c r="Q168" s="16">
        <v>0</v>
      </c>
      <c r="R168" s="16">
        <v>4</v>
      </c>
    </row>
    <row r="169" spans="1:18" x14ac:dyDescent="0.25">
      <c r="A169" s="71">
        <v>42237</v>
      </c>
      <c r="B169" s="20"/>
      <c r="C169" s="15" t="s">
        <v>74</v>
      </c>
      <c r="D169" s="16">
        <v>5</v>
      </c>
      <c r="E169" s="16">
        <v>9</v>
      </c>
      <c r="F169" s="96">
        <f t="shared" si="36"/>
        <v>0.55555555555555558</v>
      </c>
      <c r="G169" s="16">
        <v>1</v>
      </c>
      <c r="H169" s="16">
        <v>1</v>
      </c>
      <c r="I169" s="96">
        <f t="shared" si="37"/>
        <v>1</v>
      </c>
      <c r="J169" s="16">
        <v>2</v>
      </c>
      <c r="K169" s="16">
        <v>4</v>
      </c>
      <c r="L169" s="96">
        <f t="shared" si="38"/>
        <v>0.5</v>
      </c>
      <c r="M169" s="16">
        <v>4</v>
      </c>
      <c r="N169" s="16">
        <v>1</v>
      </c>
      <c r="O169" s="16">
        <v>2</v>
      </c>
      <c r="P169" s="16">
        <v>5</v>
      </c>
      <c r="Q169" s="16">
        <v>0</v>
      </c>
      <c r="R169" s="16">
        <v>13</v>
      </c>
    </row>
    <row r="170" spans="1:18" x14ac:dyDescent="0.25">
      <c r="A170" s="71">
        <v>42237</v>
      </c>
      <c r="B170" s="20"/>
      <c r="C170" s="15" t="s">
        <v>75</v>
      </c>
      <c r="D170" s="16">
        <v>7</v>
      </c>
      <c r="E170" s="16">
        <v>16</v>
      </c>
      <c r="F170" s="96">
        <f t="shared" si="36"/>
        <v>0.4375</v>
      </c>
      <c r="G170" s="16">
        <v>0</v>
      </c>
      <c r="H170" s="16">
        <v>0</v>
      </c>
      <c r="I170" s="96">
        <f t="shared" si="37"/>
        <v>0</v>
      </c>
      <c r="J170" s="16">
        <v>0</v>
      </c>
      <c r="K170" s="16">
        <v>0</v>
      </c>
      <c r="L170" s="96">
        <f t="shared" si="38"/>
        <v>0</v>
      </c>
      <c r="M170" s="16">
        <v>3</v>
      </c>
      <c r="N170" s="16">
        <v>2</v>
      </c>
      <c r="O170" s="16">
        <v>1</v>
      </c>
      <c r="P170" s="16">
        <v>1</v>
      </c>
      <c r="Q170" s="16">
        <v>0</v>
      </c>
      <c r="R170" s="16">
        <v>14</v>
      </c>
    </row>
    <row r="171" spans="1:18" x14ac:dyDescent="0.25">
      <c r="A171" s="71">
        <v>42237</v>
      </c>
      <c r="B171" s="20"/>
      <c r="C171" s="15" t="s">
        <v>109</v>
      </c>
      <c r="D171" s="16">
        <v>3</v>
      </c>
      <c r="E171" s="16">
        <v>6</v>
      </c>
      <c r="F171" s="96">
        <f t="shared" si="36"/>
        <v>0.5</v>
      </c>
      <c r="G171" s="16">
        <v>0</v>
      </c>
      <c r="H171" s="16">
        <v>2</v>
      </c>
      <c r="I171" s="96">
        <f t="shared" si="37"/>
        <v>0</v>
      </c>
      <c r="J171" s="16">
        <v>2</v>
      </c>
      <c r="K171" s="16">
        <v>7</v>
      </c>
      <c r="L171" s="96">
        <f t="shared" si="38"/>
        <v>0.2857142857142857</v>
      </c>
      <c r="M171" s="16">
        <v>8</v>
      </c>
      <c r="N171" s="16">
        <v>5</v>
      </c>
      <c r="O171" s="16">
        <v>1</v>
      </c>
      <c r="P171" s="16">
        <v>2</v>
      </c>
      <c r="Q171" s="16">
        <v>0</v>
      </c>
      <c r="R171" s="16">
        <v>8</v>
      </c>
    </row>
    <row r="172" spans="1:18" x14ac:dyDescent="0.25">
      <c r="A172" s="71">
        <v>42237</v>
      </c>
      <c r="B172" s="20"/>
      <c r="C172" s="15" t="s">
        <v>152</v>
      </c>
      <c r="D172" s="16">
        <v>2</v>
      </c>
      <c r="E172" s="16">
        <v>4</v>
      </c>
      <c r="F172" s="96">
        <f t="shared" si="36"/>
        <v>0.5</v>
      </c>
      <c r="G172" s="16">
        <v>0</v>
      </c>
      <c r="H172" s="16">
        <v>0</v>
      </c>
      <c r="I172" s="96">
        <f t="shared" si="37"/>
        <v>0</v>
      </c>
      <c r="J172" s="16">
        <v>0</v>
      </c>
      <c r="K172" s="16">
        <v>0</v>
      </c>
      <c r="L172" s="96">
        <f t="shared" si="38"/>
        <v>0</v>
      </c>
      <c r="M172" s="16">
        <v>3</v>
      </c>
      <c r="N172" s="16">
        <v>0</v>
      </c>
      <c r="O172" s="16">
        <v>0</v>
      </c>
      <c r="P172" s="16">
        <v>1</v>
      </c>
      <c r="Q172" s="16">
        <v>0</v>
      </c>
      <c r="R172" s="16">
        <v>4</v>
      </c>
    </row>
    <row r="173" spans="1:18" x14ac:dyDescent="0.25">
      <c r="A173" s="71">
        <v>42237</v>
      </c>
      <c r="B173" s="20"/>
      <c r="C173" s="15" t="s">
        <v>76</v>
      </c>
      <c r="D173" s="16">
        <v>5</v>
      </c>
      <c r="E173" s="16">
        <v>15</v>
      </c>
      <c r="F173" s="96">
        <f t="shared" si="36"/>
        <v>0.33333333333333331</v>
      </c>
      <c r="G173" s="16">
        <v>1</v>
      </c>
      <c r="H173" s="16">
        <v>4</v>
      </c>
      <c r="I173" s="96">
        <f t="shared" si="37"/>
        <v>0.25</v>
      </c>
      <c r="J173" s="16">
        <v>2</v>
      </c>
      <c r="K173" s="16">
        <v>5</v>
      </c>
      <c r="L173" s="96">
        <f t="shared" si="38"/>
        <v>0.4</v>
      </c>
      <c r="M173" s="16">
        <v>4</v>
      </c>
      <c r="N173" s="16">
        <v>0</v>
      </c>
      <c r="O173" s="16">
        <v>1</v>
      </c>
      <c r="P173" s="16">
        <v>2</v>
      </c>
      <c r="Q173" s="16">
        <v>1</v>
      </c>
      <c r="R173" s="16">
        <v>13</v>
      </c>
    </row>
    <row r="174" spans="1:18" x14ac:dyDescent="0.25">
      <c r="A174" s="71">
        <v>42237</v>
      </c>
      <c r="B174" s="20"/>
      <c r="C174" s="15" t="s">
        <v>77</v>
      </c>
      <c r="D174" s="16">
        <v>3</v>
      </c>
      <c r="E174" s="16">
        <v>12</v>
      </c>
      <c r="F174" s="96">
        <f t="shared" si="36"/>
        <v>0.25</v>
      </c>
      <c r="G174" s="16">
        <v>1</v>
      </c>
      <c r="H174" s="16">
        <v>5</v>
      </c>
      <c r="I174" s="96">
        <f t="shared" si="37"/>
        <v>0.2</v>
      </c>
      <c r="J174" s="16">
        <v>2</v>
      </c>
      <c r="K174" s="16">
        <v>2</v>
      </c>
      <c r="L174" s="96">
        <f t="shared" si="38"/>
        <v>1</v>
      </c>
      <c r="M174" s="16">
        <v>2</v>
      </c>
      <c r="N174" s="16">
        <v>3</v>
      </c>
      <c r="O174" s="16">
        <v>2</v>
      </c>
      <c r="P174" s="16">
        <v>3</v>
      </c>
      <c r="Q174" s="16">
        <v>1</v>
      </c>
      <c r="R174" s="16">
        <v>9</v>
      </c>
    </row>
    <row r="175" spans="1:18" x14ac:dyDescent="0.25">
      <c r="A175" s="21">
        <v>42239</v>
      </c>
      <c r="B175" s="20"/>
      <c r="C175" s="15" t="s">
        <v>74</v>
      </c>
      <c r="D175" s="16">
        <v>13</v>
      </c>
      <c r="E175" s="16">
        <v>20</v>
      </c>
      <c r="F175" s="96">
        <f t="shared" si="36"/>
        <v>0.65</v>
      </c>
      <c r="G175" s="16">
        <v>3</v>
      </c>
      <c r="H175" s="16">
        <v>4</v>
      </c>
      <c r="I175" s="96">
        <f t="shared" si="37"/>
        <v>0.75</v>
      </c>
      <c r="J175" s="16">
        <v>4</v>
      </c>
      <c r="K175" s="16">
        <v>4</v>
      </c>
      <c r="L175" s="96">
        <f t="shared" si="38"/>
        <v>1</v>
      </c>
      <c r="M175" s="16">
        <v>8</v>
      </c>
      <c r="N175" s="16">
        <v>1</v>
      </c>
      <c r="O175" s="16">
        <v>1</v>
      </c>
      <c r="P175" s="16">
        <v>4</v>
      </c>
      <c r="Q175" s="16">
        <v>0</v>
      </c>
      <c r="R175" s="16">
        <v>33</v>
      </c>
    </row>
    <row r="176" spans="1:18" x14ac:dyDescent="0.25">
      <c r="A176" s="21">
        <v>42239</v>
      </c>
      <c r="B176" s="20"/>
      <c r="C176" s="15" t="s">
        <v>76</v>
      </c>
      <c r="D176" s="16">
        <v>7</v>
      </c>
      <c r="E176" s="16">
        <v>13</v>
      </c>
      <c r="F176" s="96">
        <f t="shared" si="36"/>
        <v>0.53846153846153844</v>
      </c>
      <c r="G176" s="16">
        <v>1</v>
      </c>
      <c r="H176" s="16">
        <v>3</v>
      </c>
      <c r="I176" s="96">
        <f t="shared" si="37"/>
        <v>0.33333333333333331</v>
      </c>
      <c r="J176" s="16">
        <v>6</v>
      </c>
      <c r="K176" s="16">
        <v>6</v>
      </c>
      <c r="L176" s="96">
        <f t="shared" si="38"/>
        <v>1</v>
      </c>
      <c r="M176" s="16">
        <v>4</v>
      </c>
      <c r="N176" s="16">
        <v>2</v>
      </c>
      <c r="O176" s="16">
        <v>1</v>
      </c>
      <c r="P176" s="16">
        <v>3</v>
      </c>
      <c r="Q176" s="16">
        <v>3</v>
      </c>
      <c r="R176" s="16">
        <v>21</v>
      </c>
    </row>
    <row r="177" spans="1:18" x14ac:dyDescent="0.25">
      <c r="A177" s="21">
        <v>42239</v>
      </c>
      <c r="B177" s="20"/>
      <c r="C177" s="15" t="s">
        <v>152</v>
      </c>
      <c r="D177" s="16">
        <v>1</v>
      </c>
      <c r="E177" s="16">
        <v>4</v>
      </c>
      <c r="F177" s="96">
        <f t="shared" si="36"/>
        <v>0.25</v>
      </c>
      <c r="G177" s="16">
        <v>0</v>
      </c>
      <c r="H177" s="16">
        <v>0</v>
      </c>
      <c r="I177" s="96">
        <f t="shared" si="37"/>
        <v>0</v>
      </c>
      <c r="J177" s="16">
        <v>1</v>
      </c>
      <c r="K177" s="16">
        <v>2</v>
      </c>
      <c r="L177" s="96">
        <f t="shared" si="38"/>
        <v>0.5</v>
      </c>
      <c r="M177" s="16">
        <v>1</v>
      </c>
      <c r="N177" s="16">
        <v>0</v>
      </c>
      <c r="O177" s="16">
        <v>1</v>
      </c>
      <c r="P177" s="16">
        <v>2</v>
      </c>
      <c r="Q177" s="16">
        <v>2</v>
      </c>
      <c r="R177" s="16">
        <v>3</v>
      </c>
    </row>
    <row r="178" spans="1:18" x14ac:dyDescent="0.25">
      <c r="A178" s="21">
        <v>42239</v>
      </c>
      <c r="B178" s="20"/>
      <c r="C178" s="15" t="s">
        <v>75</v>
      </c>
      <c r="D178" s="16">
        <v>4</v>
      </c>
      <c r="E178" s="16">
        <v>9</v>
      </c>
      <c r="F178" s="96">
        <f t="shared" si="36"/>
        <v>0.44444444444444442</v>
      </c>
      <c r="G178" s="16">
        <v>0</v>
      </c>
      <c r="H178" s="16">
        <v>0</v>
      </c>
      <c r="I178" s="96">
        <f t="shared" si="37"/>
        <v>0</v>
      </c>
      <c r="J178" s="16">
        <v>1</v>
      </c>
      <c r="K178" s="16">
        <v>1</v>
      </c>
      <c r="L178" s="96">
        <f t="shared" si="38"/>
        <v>1</v>
      </c>
      <c r="M178" s="16">
        <v>2</v>
      </c>
      <c r="N178" s="16">
        <v>4</v>
      </c>
      <c r="O178" s="16">
        <v>0</v>
      </c>
      <c r="P178" s="16">
        <v>3</v>
      </c>
      <c r="Q178" s="16">
        <v>0</v>
      </c>
      <c r="R178" s="16">
        <v>9</v>
      </c>
    </row>
    <row r="179" spans="1:18" x14ac:dyDescent="0.25">
      <c r="A179" s="21">
        <v>42239</v>
      </c>
      <c r="B179" s="20"/>
      <c r="C179" s="15" t="s">
        <v>109</v>
      </c>
      <c r="D179" s="16">
        <v>4</v>
      </c>
      <c r="E179" s="16">
        <v>15</v>
      </c>
      <c r="F179" s="96">
        <f t="shared" si="36"/>
        <v>0.26666666666666666</v>
      </c>
      <c r="G179" s="16">
        <v>1</v>
      </c>
      <c r="H179" s="16">
        <v>6</v>
      </c>
      <c r="I179" s="96">
        <f t="shared" si="37"/>
        <v>0.16666666666666666</v>
      </c>
      <c r="J179" s="16">
        <v>1</v>
      </c>
      <c r="K179" s="16">
        <v>2</v>
      </c>
      <c r="L179" s="96">
        <f t="shared" si="38"/>
        <v>0.5</v>
      </c>
      <c r="M179" s="16">
        <v>4</v>
      </c>
      <c r="N179" s="16">
        <v>4</v>
      </c>
      <c r="O179" s="16">
        <v>1</v>
      </c>
      <c r="P179" s="16">
        <v>3</v>
      </c>
      <c r="Q179" s="16">
        <v>0</v>
      </c>
      <c r="R179" s="16">
        <v>10</v>
      </c>
    </row>
    <row r="180" spans="1:18" x14ac:dyDescent="0.25">
      <c r="A180" s="21">
        <v>42239</v>
      </c>
      <c r="B180" s="20"/>
      <c r="C180" s="15" t="s">
        <v>77</v>
      </c>
      <c r="D180" s="16">
        <v>3</v>
      </c>
      <c r="E180" s="16">
        <v>6</v>
      </c>
      <c r="F180" s="96">
        <f t="shared" si="36"/>
        <v>0.5</v>
      </c>
      <c r="G180" s="16">
        <v>2</v>
      </c>
      <c r="H180" s="16">
        <v>2</v>
      </c>
      <c r="I180" s="96">
        <f t="shared" si="37"/>
        <v>1</v>
      </c>
      <c r="J180" s="16">
        <v>1</v>
      </c>
      <c r="K180" s="16">
        <v>2</v>
      </c>
      <c r="L180" s="96">
        <f t="shared" si="38"/>
        <v>0.5</v>
      </c>
      <c r="M180" s="16">
        <v>3</v>
      </c>
      <c r="N180" s="16">
        <v>5</v>
      </c>
      <c r="O180" s="16">
        <v>0</v>
      </c>
      <c r="P180" s="16">
        <v>2</v>
      </c>
      <c r="Q180" s="16">
        <v>0</v>
      </c>
      <c r="R180" s="16">
        <v>9</v>
      </c>
    </row>
    <row r="181" spans="1:18" x14ac:dyDescent="0.25">
      <c r="A181" s="71">
        <v>42241</v>
      </c>
      <c r="B181" s="20"/>
      <c r="C181" s="15" t="s">
        <v>75</v>
      </c>
      <c r="D181" s="16">
        <v>1</v>
      </c>
      <c r="E181" s="16">
        <v>5</v>
      </c>
      <c r="F181" s="98">
        <f t="shared" ref="F181:F201" si="39">IF(E181=0,0,D181/E181)</f>
        <v>0.2</v>
      </c>
      <c r="G181" s="16">
        <v>0</v>
      </c>
      <c r="H181" s="16">
        <v>0</v>
      </c>
      <c r="I181" s="98">
        <f t="shared" ref="I181:I201" si="40">IF(H181=0,0,G181/H181)</f>
        <v>0</v>
      </c>
      <c r="J181" s="16">
        <v>0</v>
      </c>
      <c r="K181" s="16">
        <v>0</v>
      </c>
      <c r="L181" s="98">
        <f t="shared" ref="L181:L201" si="41">IF(K181=0,0,J181/K181)</f>
        <v>0</v>
      </c>
      <c r="M181" s="16">
        <v>4</v>
      </c>
      <c r="N181" s="16">
        <v>1</v>
      </c>
      <c r="O181" s="16">
        <v>1</v>
      </c>
      <c r="P181" s="16">
        <v>2</v>
      </c>
      <c r="Q181" s="16">
        <v>0</v>
      </c>
      <c r="R181" s="16">
        <v>2</v>
      </c>
    </row>
    <row r="182" spans="1:18" x14ac:dyDescent="0.25">
      <c r="A182" s="71">
        <v>42241</v>
      </c>
      <c r="B182" s="20"/>
      <c r="C182" s="15" t="s">
        <v>109</v>
      </c>
      <c r="D182" s="16">
        <v>2</v>
      </c>
      <c r="E182" s="16">
        <v>8</v>
      </c>
      <c r="F182" s="98">
        <f t="shared" si="39"/>
        <v>0.25</v>
      </c>
      <c r="G182" s="16">
        <v>1</v>
      </c>
      <c r="H182" s="16">
        <v>2</v>
      </c>
      <c r="I182" s="98">
        <f t="shared" si="40"/>
        <v>0.5</v>
      </c>
      <c r="J182" s="16">
        <v>0</v>
      </c>
      <c r="K182" s="16">
        <v>0</v>
      </c>
      <c r="L182" s="98">
        <f t="shared" si="41"/>
        <v>0</v>
      </c>
      <c r="M182" s="16">
        <v>2</v>
      </c>
      <c r="N182" s="16">
        <v>3</v>
      </c>
      <c r="O182" s="16">
        <v>0</v>
      </c>
      <c r="P182" s="16">
        <v>1</v>
      </c>
      <c r="Q182" s="16">
        <v>1</v>
      </c>
      <c r="R182" s="16">
        <v>5</v>
      </c>
    </row>
    <row r="183" spans="1:18" x14ac:dyDescent="0.25">
      <c r="A183" s="71">
        <v>42241</v>
      </c>
      <c r="B183" s="20"/>
      <c r="C183" s="15" t="s">
        <v>74</v>
      </c>
      <c r="D183" s="16">
        <v>3</v>
      </c>
      <c r="E183" s="16">
        <v>12</v>
      </c>
      <c r="F183" s="98">
        <f t="shared" si="39"/>
        <v>0.25</v>
      </c>
      <c r="G183" s="16">
        <v>1</v>
      </c>
      <c r="H183" s="16">
        <v>3</v>
      </c>
      <c r="I183" s="98">
        <f t="shared" si="40"/>
        <v>0.33333333333333331</v>
      </c>
      <c r="J183" s="16">
        <v>4</v>
      </c>
      <c r="K183" s="16">
        <v>4</v>
      </c>
      <c r="L183" s="98">
        <f t="shared" si="41"/>
        <v>1</v>
      </c>
      <c r="M183" s="16">
        <v>5</v>
      </c>
      <c r="N183" s="16">
        <v>2</v>
      </c>
      <c r="O183" s="16">
        <v>0</v>
      </c>
      <c r="P183" s="16">
        <v>1</v>
      </c>
      <c r="Q183" s="16">
        <v>1</v>
      </c>
      <c r="R183" s="16">
        <v>11</v>
      </c>
    </row>
    <row r="184" spans="1:18" x14ac:dyDescent="0.25">
      <c r="A184" s="71">
        <v>42242</v>
      </c>
      <c r="B184" s="20"/>
      <c r="C184" s="15" t="s">
        <v>77</v>
      </c>
      <c r="D184" s="16">
        <v>3</v>
      </c>
      <c r="E184" s="16">
        <v>6</v>
      </c>
      <c r="F184" s="98">
        <f t="shared" si="39"/>
        <v>0.5</v>
      </c>
      <c r="G184" s="16">
        <v>1</v>
      </c>
      <c r="H184" s="16">
        <v>2</v>
      </c>
      <c r="I184" s="98">
        <f t="shared" si="40"/>
        <v>0.5</v>
      </c>
      <c r="J184" s="16">
        <v>2</v>
      </c>
      <c r="K184" s="16">
        <v>2</v>
      </c>
      <c r="L184" s="98">
        <f t="shared" si="41"/>
        <v>1</v>
      </c>
      <c r="M184" s="16">
        <v>0</v>
      </c>
      <c r="N184" s="16">
        <v>2</v>
      </c>
      <c r="O184" s="16">
        <v>1</v>
      </c>
      <c r="P184" s="16">
        <v>5</v>
      </c>
      <c r="Q184" s="16">
        <v>0</v>
      </c>
      <c r="R184" s="16">
        <v>9</v>
      </c>
    </row>
    <row r="185" spans="1:18" x14ac:dyDescent="0.25">
      <c r="A185" s="71">
        <v>42243</v>
      </c>
      <c r="B185" s="20"/>
      <c r="C185" s="15" t="s">
        <v>76</v>
      </c>
      <c r="D185" s="16">
        <v>7</v>
      </c>
      <c r="E185" s="16">
        <v>12</v>
      </c>
      <c r="F185" s="98">
        <f t="shared" si="39"/>
        <v>0.58333333333333337</v>
      </c>
      <c r="G185" s="16">
        <v>2</v>
      </c>
      <c r="H185" s="16">
        <v>2</v>
      </c>
      <c r="I185" s="98">
        <f t="shared" si="40"/>
        <v>1</v>
      </c>
      <c r="J185" s="16">
        <v>10</v>
      </c>
      <c r="K185" s="16">
        <v>12</v>
      </c>
      <c r="L185" s="98">
        <f t="shared" si="41"/>
        <v>0.83333333333333337</v>
      </c>
      <c r="M185" s="16">
        <v>6</v>
      </c>
      <c r="N185" s="16">
        <v>3</v>
      </c>
      <c r="O185" s="16">
        <v>1</v>
      </c>
      <c r="P185" s="16">
        <v>5</v>
      </c>
      <c r="Q185" s="16">
        <v>1</v>
      </c>
      <c r="R185" s="16">
        <v>26</v>
      </c>
    </row>
    <row r="186" spans="1:18" x14ac:dyDescent="0.25">
      <c r="A186" s="71">
        <v>42243</v>
      </c>
      <c r="B186" s="20"/>
      <c r="C186" s="15" t="s">
        <v>75</v>
      </c>
      <c r="D186" s="16">
        <v>5</v>
      </c>
      <c r="E186" s="16">
        <v>15</v>
      </c>
      <c r="F186" s="98">
        <f t="shared" si="39"/>
        <v>0.33333333333333331</v>
      </c>
      <c r="G186" s="16">
        <v>0</v>
      </c>
      <c r="H186" s="16">
        <v>0</v>
      </c>
      <c r="I186" s="98">
        <f t="shared" si="40"/>
        <v>0</v>
      </c>
      <c r="J186" s="16">
        <v>3</v>
      </c>
      <c r="K186" s="16">
        <v>5</v>
      </c>
      <c r="L186" s="98">
        <f t="shared" si="41"/>
        <v>0.6</v>
      </c>
      <c r="M186" s="16">
        <v>7</v>
      </c>
      <c r="N186" s="16">
        <v>3</v>
      </c>
      <c r="O186" s="16">
        <v>0</v>
      </c>
      <c r="P186" s="16">
        <v>2</v>
      </c>
      <c r="Q186" s="16">
        <v>0</v>
      </c>
      <c r="R186" s="16">
        <v>13</v>
      </c>
    </row>
    <row r="187" spans="1:18" x14ac:dyDescent="0.25">
      <c r="A187" s="71">
        <v>42243</v>
      </c>
      <c r="B187" s="20"/>
      <c r="C187" s="15" t="s">
        <v>109</v>
      </c>
      <c r="D187" s="16">
        <v>7</v>
      </c>
      <c r="E187" s="16">
        <v>12</v>
      </c>
      <c r="F187" s="98">
        <f t="shared" si="39"/>
        <v>0.58333333333333337</v>
      </c>
      <c r="G187" s="16">
        <v>2</v>
      </c>
      <c r="H187" s="16">
        <v>3</v>
      </c>
      <c r="I187" s="98">
        <f t="shared" si="40"/>
        <v>0.66666666666666663</v>
      </c>
      <c r="J187" s="16">
        <v>5</v>
      </c>
      <c r="K187" s="16">
        <v>7</v>
      </c>
      <c r="L187" s="98">
        <f t="shared" si="41"/>
        <v>0.7142857142857143</v>
      </c>
      <c r="M187" s="16">
        <v>4</v>
      </c>
      <c r="N187" s="16">
        <v>4</v>
      </c>
      <c r="O187" s="16">
        <v>2</v>
      </c>
      <c r="P187" s="16">
        <v>1</v>
      </c>
      <c r="Q187" s="16">
        <v>1</v>
      </c>
      <c r="R187" s="16">
        <v>21</v>
      </c>
    </row>
    <row r="188" spans="1:18" x14ac:dyDescent="0.25">
      <c r="A188" s="71">
        <v>42244</v>
      </c>
      <c r="B188" s="20"/>
      <c r="C188" s="15" t="s">
        <v>152</v>
      </c>
      <c r="D188" s="16">
        <v>1</v>
      </c>
      <c r="E188" s="16">
        <v>6</v>
      </c>
      <c r="F188" s="98">
        <f t="shared" si="39"/>
        <v>0.16666666666666666</v>
      </c>
      <c r="G188" s="16">
        <v>0</v>
      </c>
      <c r="H188" s="16">
        <v>0</v>
      </c>
      <c r="I188" s="98">
        <f t="shared" si="40"/>
        <v>0</v>
      </c>
      <c r="J188" s="16">
        <v>0</v>
      </c>
      <c r="K188" s="16">
        <v>2</v>
      </c>
      <c r="L188" s="98">
        <f t="shared" si="41"/>
        <v>0</v>
      </c>
      <c r="M188" s="16">
        <v>5</v>
      </c>
      <c r="N188" s="16">
        <v>2</v>
      </c>
      <c r="O188" s="16">
        <v>0</v>
      </c>
      <c r="P188" s="16">
        <v>1</v>
      </c>
      <c r="Q188" s="16">
        <v>0</v>
      </c>
      <c r="R188" s="16">
        <v>2</v>
      </c>
    </row>
    <row r="189" spans="1:18" x14ac:dyDescent="0.25">
      <c r="A189" s="71">
        <v>42244</v>
      </c>
      <c r="B189" s="20"/>
      <c r="C189" s="15" t="s">
        <v>74</v>
      </c>
      <c r="D189" s="16">
        <v>3</v>
      </c>
      <c r="E189" s="16">
        <v>12</v>
      </c>
      <c r="F189" s="98">
        <f t="shared" si="39"/>
        <v>0.25</v>
      </c>
      <c r="G189" s="16">
        <v>0</v>
      </c>
      <c r="H189" s="16">
        <v>1</v>
      </c>
      <c r="I189" s="98">
        <f t="shared" si="40"/>
        <v>0</v>
      </c>
      <c r="J189" s="16">
        <v>5</v>
      </c>
      <c r="K189" s="16">
        <v>6</v>
      </c>
      <c r="L189" s="98">
        <f t="shared" si="41"/>
        <v>0.83333333333333337</v>
      </c>
      <c r="M189" s="16">
        <v>2</v>
      </c>
      <c r="N189" s="16">
        <v>2</v>
      </c>
      <c r="O189" s="16">
        <v>1</v>
      </c>
      <c r="P189" s="16">
        <v>2</v>
      </c>
      <c r="Q189" s="16">
        <v>0</v>
      </c>
      <c r="R189" s="16">
        <v>11</v>
      </c>
    </row>
    <row r="190" spans="1:18" x14ac:dyDescent="0.25">
      <c r="A190" s="71">
        <v>42244</v>
      </c>
      <c r="B190" s="20"/>
      <c r="C190" s="15" t="s">
        <v>77</v>
      </c>
      <c r="D190" s="16">
        <v>0</v>
      </c>
      <c r="E190" s="16">
        <v>1</v>
      </c>
      <c r="F190" s="98">
        <f t="shared" si="39"/>
        <v>0</v>
      </c>
      <c r="G190" s="16">
        <v>0</v>
      </c>
      <c r="H190" s="16">
        <v>1</v>
      </c>
      <c r="I190" s="98">
        <f t="shared" si="40"/>
        <v>0</v>
      </c>
      <c r="J190" s="16">
        <v>0</v>
      </c>
      <c r="K190" s="16">
        <v>0</v>
      </c>
      <c r="L190" s="98">
        <f t="shared" si="41"/>
        <v>0</v>
      </c>
      <c r="M190" s="16">
        <v>1</v>
      </c>
      <c r="N190" s="16">
        <v>2</v>
      </c>
      <c r="O190" s="16">
        <v>0</v>
      </c>
      <c r="P190" s="16">
        <v>0</v>
      </c>
      <c r="Q190" s="16">
        <v>0</v>
      </c>
      <c r="R190" s="16">
        <v>0</v>
      </c>
    </row>
    <row r="191" spans="1:18" x14ac:dyDescent="0.25">
      <c r="A191" s="71">
        <v>42244</v>
      </c>
      <c r="B191" s="20"/>
      <c r="C191" s="15" t="s">
        <v>95</v>
      </c>
      <c r="D191" s="16">
        <v>0</v>
      </c>
      <c r="E191" s="16">
        <v>3</v>
      </c>
      <c r="F191" s="98">
        <f t="shared" si="39"/>
        <v>0</v>
      </c>
      <c r="G191" s="16">
        <v>0</v>
      </c>
      <c r="H191" s="16">
        <v>1</v>
      </c>
      <c r="I191" s="98">
        <f t="shared" si="40"/>
        <v>0</v>
      </c>
      <c r="J191" s="16">
        <v>2</v>
      </c>
      <c r="K191" s="16">
        <v>2</v>
      </c>
      <c r="L191" s="98">
        <f t="shared" si="41"/>
        <v>1</v>
      </c>
      <c r="M191" s="16">
        <v>2</v>
      </c>
      <c r="N191" s="16">
        <v>2</v>
      </c>
      <c r="O191" s="16">
        <v>0</v>
      </c>
      <c r="P191" s="16">
        <v>2</v>
      </c>
      <c r="Q191" s="16">
        <v>0</v>
      </c>
      <c r="R191" s="16">
        <v>2</v>
      </c>
    </row>
    <row r="192" spans="1:18" x14ac:dyDescent="0.25">
      <c r="A192" s="71">
        <v>42244</v>
      </c>
      <c r="B192" s="20"/>
      <c r="C192" s="15" t="s">
        <v>94</v>
      </c>
      <c r="D192" s="16">
        <v>3</v>
      </c>
      <c r="E192" s="16">
        <v>9</v>
      </c>
      <c r="F192" s="98">
        <f t="shared" si="39"/>
        <v>0.33333333333333331</v>
      </c>
      <c r="G192" s="16">
        <v>1</v>
      </c>
      <c r="H192" s="16">
        <v>4</v>
      </c>
      <c r="I192" s="98">
        <f t="shared" si="40"/>
        <v>0.25</v>
      </c>
      <c r="J192" s="16">
        <v>0</v>
      </c>
      <c r="K192" s="16">
        <v>0</v>
      </c>
      <c r="L192" s="98">
        <f t="shared" si="41"/>
        <v>0</v>
      </c>
      <c r="M192" s="16">
        <v>0</v>
      </c>
      <c r="N192" s="16">
        <v>0</v>
      </c>
      <c r="O192" s="16">
        <v>0</v>
      </c>
      <c r="P192" s="16">
        <v>3</v>
      </c>
      <c r="Q192" s="16">
        <v>0</v>
      </c>
      <c r="R192" s="16">
        <v>7</v>
      </c>
    </row>
    <row r="193" spans="1:18" x14ac:dyDescent="0.25">
      <c r="A193" s="71">
        <v>42244</v>
      </c>
      <c r="B193" s="20"/>
      <c r="C193" s="15" t="s">
        <v>76</v>
      </c>
      <c r="D193" s="16">
        <v>3</v>
      </c>
      <c r="E193" s="16">
        <v>10</v>
      </c>
      <c r="F193" s="98">
        <f t="shared" si="39"/>
        <v>0.3</v>
      </c>
      <c r="G193" s="16">
        <v>0</v>
      </c>
      <c r="H193" s="16">
        <v>2</v>
      </c>
      <c r="I193" s="98">
        <f t="shared" si="40"/>
        <v>0</v>
      </c>
      <c r="J193" s="16">
        <v>4</v>
      </c>
      <c r="K193" s="16">
        <v>4</v>
      </c>
      <c r="L193" s="98">
        <f t="shared" si="41"/>
        <v>1</v>
      </c>
      <c r="M193" s="16">
        <v>7</v>
      </c>
      <c r="N193" s="16">
        <v>5</v>
      </c>
      <c r="O193" s="16">
        <v>2</v>
      </c>
      <c r="P193" s="16">
        <v>1</v>
      </c>
      <c r="Q193" s="16">
        <v>0</v>
      </c>
      <c r="R193" s="16">
        <v>10</v>
      </c>
    </row>
    <row r="194" spans="1:18" x14ac:dyDescent="0.25">
      <c r="A194" s="21">
        <v>42245</v>
      </c>
      <c r="B194" s="20"/>
      <c r="C194" s="20" t="s">
        <v>74</v>
      </c>
      <c r="D194" s="99">
        <v>12</v>
      </c>
      <c r="E194" s="99">
        <v>24</v>
      </c>
      <c r="F194" s="98">
        <f t="shared" si="39"/>
        <v>0.5</v>
      </c>
      <c r="G194" s="99">
        <v>1</v>
      </c>
      <c r="H194" s="99">
        <v>4</v>
      </c>
      <c r="I194" s="98">
        <f t="shared" si="40"/>
        <v>0.25</v>
      </c>
      <c r="J194" s="99">
        <v>8</v>
      </c>
      <c r="K194" s="99">
        <v>12</v>
      </c>
      <c r="L194" s="98">
        <f t="shared" si="41"/>
        <v>0.66666666666666663</v>
      </c>
      <c r="M194" s="99">
        <v>11</v>
      </c>
      <c r="N194" s="99">
        <v>2</v>
      </c>
      <c r="O194" s="99">
        <v>3</v>
      </c>
      <c r="P194" s="99">
        <v>1</v>
      </c>
      <c r="Q194" s="99">
        <v>2</v>
      </c>
      <c r="R194" s="99">
        <v>33</v>
      </c>
    </row>
    <row r="195" spans="1:18" x14ac:dyDescent="0.25">
      <c r="A195" s="14">
        <v>42245</v>
      </c>
      <c r="B195" s="15"/>
      <c r="C195" s="15" t="s">
        <v>75</v>
      </c>
      <c r="D195" s="16">
        <v>10</v>
      </c>
      <c r="E195" s="16">
        <v>18</v>
      </c>
      <c r="F195" s="98">
        <f t="shared" si="39"/>
        <v>0.55555555555555558</v>
      </c>
      <c r="G195" s="16">
        <v>0</v>
      </c>
      <c r="H195" s="16">
        <v>1</v>
      </c>
      <c r="I195" s="98">
        <f t="shared" si="40"/>
        <v>0</v>
      </c>
      <c r="J195" s="16">
        <v>2</v>
      </c>
      <c r="K195" s="16">
        <v>5</v>
      </c>
      <c r="L195" s="98">
        <f t="shared" si="41"/>
        <v>0.4</v>
      </c>
      <c r="M195" s="16">
        <v>7</v>
      </c>
      <c r="N195" s="16">
        <v>3</v>
      </c>
      <c r="O195" s="16">
        <v>1</v>
      </c>
      <c r="P195" s="16">
        <v>4</v>
      </c>
      <c r="Q195" s="16">
        <v>1</v>
      </c>
      <c r="R195" s="16">
        <v>22</v>
      </c>
    </row>
    <row r="196" spans="1:18" x14ac:dyDescent="0.25">
      <c r="A196" s="14">
        <v>42245</v>
      </c>
      <c r="B196" s="15"/>
      <c r="C196" s="15" t="s">
        <v>109</v>
      </c>
      <c r="D196" s="16">
        <v>4</v>
      </c>
      <c r="E196" s="16">
        <v>10</v>
      </c>
      <c r="F196" s="98">
        <f t="shared" si="39"/>
        <v>0.4</v>
      </c>
      <c r="G196" s="16">
        <v>1</v>
      </c>
      <c r="H196" s="16">
        <v>3</v>
      </c>
      <c r="I196" s="98">
        <f t="shared" si="40"/>
        <v>0.33333333333333331</v>
      </c>
      <c r="J196" s="16">
        <v>0</v>
      </c>
      <c r="K196" s="16">
        <v>0</v>
      </c>
      <c r="L196" s="98">
        <f t="shared" si="41"/>
        <v>0</v>
      </c>
      <c r="M196" s="16">
        <v>4</v>
      </c>
      <c r="N196" s="16">
        <v>4</v>
      </c>
      <c r="O196" s="16">
        <v>2</v>
      </c>
      <c r="P196" s="16">
        <v>5</v>
      </c>
      <c r="Q196" s="16">
        <v>4</v>
      </c>
      <c r="R196" s="16">
        <v>9</v>
      </c>
    </row>
    <row r="197" spans="1:18" x14ac:dyDescent="0.25">
      <c r="A197" s="71">
        <v>42246</v>
      </c>
      <c r="B197" s="20"/>
      <c r="C197" s="15" t="s">
        <v>76</v>
      </c>
      <c r="D197" s="16">
        <v>6</v>
      </c>
      <c r="E197" s="16">
        <v>16</v>
      </c>
      <c r="F197" s="98">
        <f t="shared" si="39"/>
        <v>0.375</v>
      </c>
      <c r="G197" s="16">
        <v>0</v>
      </c>
      <c r="H197" s="16">
        <v>5</v>
      </c>
      <c r="I197" s="98">
        <f t="shared" si="40"/>
        <v>0</v>
      </c>
      <c r="J197" s="16">
        <v>3</v>
      </c>
      <c r="K197" s="16">
        <v>4</v>
      </c>
      <c r="L197" s="98">
        <f t="shared" si="41"/>
        <v>0.75</v>
      </c>
      <c r="M197" s="16">
        <v>6</v>
      </c>
      <c r="N197" s="16">
        <v>4</v>
      </c>
      <c r="O197" s="16">
        <v>1</v>
      </c>
      <c r="P197" s="16">
        <v>3</v>
      </c>
      <c r="Q197" s="16">
        <v>1</v>
      </c>
      <c r="R197" s="16">
        <v>15</v>
      </c>
    </row>
    <row r="198" spans="1:18" x14ac:dyDescent="0.25">
      <c r="A198" s="71">
        <v>42246</v>
      </c>
      <c r="B198" s="20"/>
      <c r="C198" s="15" t="s">
        <v>75</v>
      </c>
      <c r="D198" s="16">
        <v>11</v>
      </c>
      <c r="E198" s="16">
        <v>17</v>
      </c>
      <c r="F198" s="98">
        <f t="shared" si="39"/>
        <v>0.6470588235294118</v>
      </c>
      <c r="G198" s="16">
        <v>0</v>
      </c>
      <c r="H198" s="16">
        <v>0</v>
      </c>
      <c r="I198" s="98">
        <f t="shared" si="40"/>
        <v>0</v>
      </c>
      <c r="J198" s="16">
        <v>3</v>
      </c>
      <c r="K198" s="16">
        <v>7</v>
      </c>
      <c r="L198" s="98">
        <f t="shared" si="41"/>
        <v>0.42857142857142855</v>
      </c>
      <c r="M198" s="16">
        <v>8</v>
      </c>
      <c r="N198" s="16">
        <v>0</v>
      </c>
      <c r="O198" s="16">
        <v>1</v>
      </c>
      <c r="P198" s="16">
        <v>5</v>
      </c>
      <c r="Q198" s="16">
        <v>3</v>
      </c>
      <c r="R198" s="16">
        <v>25</v>
      </c>
    </row>
    <row r="199" spans="1:18" x14ac:dyDescent="0.25">
      <c r="A199" s="71">
        <v>42246</v>
      </c>
      <c r="B199" s="20"/>
      <c r="C199" s="15" t="s">
        <v>109</v>
      </c>
      <c r="D199" s="16">
        <v>4</v>
      </c>
      <c r="E199" s="16">
        <v>9</v>
      </c>
      <c r="F199" s="98">
        <f t="shared" si="39"/>
        <v>0.44444444444444442</v>
      </c>
      <c r="G199" s="16">
        <v>1</v>
      </c>
      <c r="H199" s="16">
        <v>2</v>
      </c>
      <c r="I199" s="98">
        <f t="shared" si="40"/>
        <v>0.5</v>
      </c>
      <c r="J199" s="16">
        <v>2</v>
      </c>
      <c r="K199" s="16">
        <v>2</v>
      </c>
      <c r="L199" s="98">
        <f t="shared" si="41"/>
        <v>1</v>
      </c>
      <c r="M199" s="16">
        <v>7</v>
      </c>
      <c r="N199" s="16">
        <v>3</v>
      </c>
      <c r="O199" s="16">
        <v>1</v>
      </c>
      <c r="P199" s="16">
        <v>2</v>
      </c>
      <c r="Q199" s="16">
        <v>1</v>
      </c>
      <c r="R199" s="16">
        <v>11</v>
      </c>
    </row>
    <row r="200" spans="1:18" x14ac:dyDescent="0.25">
      <c r="A200" s="71">
        <v>42246</v>
      </c>
      <c r="B200" s="20"/>
      <c r="C200" s="15" t="s">
        <v>152</v>
      </c>
      <c r="D200" s="16">
        <v>3</v>
      </c>
      <c r="E200" s="16">
        <v>7</v>
      </c>
      <c r="F200" s="98">
        <f t="shared" si="39"/>
        <v>0.42857142857142855</v>
      </c>
      <c r="G200" s="16">
        <v>0</v>
      </c>
      <c r="H200" s="16">
        <v>0</v>
      </c>
      <c r="I200" s="98">
        <f t="shared" si="40"/>
        <v>0</v>
      </c>
      <c r="J200" s="16">
        <v>4</v>
      </c>
      <c r="K200" s="16">
        <v>4</v>
      </c>
      <c r="L200" s="98">
        <f t="shared" si="41"/>
        <v>1</v>
      </c>
      <c r="M200" s="16">
        <v>4</v>
      </c>
      <c r="N200" s="16">
        <v>0</v>
      </c>
      <c r="O200" s="16">
        <v>0</v>
      </c>
      <c r="P200" s="16">
        <v>2</v>
      </c>
      <c r="Q200" s="16">
        <v>0</v>
      </c>
      <c r="R200" s="16">
        <v>10</v>
      </c>
    </row>
    <row r="201" spans="1:18" x14ac:dyDescent="0.25">
      <c r="A201" s="71">
        <v>42246</v>
      </c>
      <c r="B201" s="20"/>
      <c r="C201" s="15" t="s">
        <v>94</v>
      </c>
      <c r="D201" s="16">
        <v>2</v>
      </c>
      <c r="E201" s="16">
        <v>3</v>
      </c>
      <c r="F201" s="98">
        <f t="shared" si="39"/>
        <v>0.66666666666666663</v>
      </c>
      <c r="G201" s="16">
        <v>0</v>
      </c>
      <c r="H201" s="16">
        <v>0</v>
      </c>
      <c r="I201" s="98">
        <f t="shared" si="40"/>
        <v>0</v>
      </c>
      <c r="J201" s="16">
        <v>1</v>
      </c>
      <c r="K201" s="16">
        <v>1</v>
      </c>
      <c r="L201" s="98">
        <f t="shared" si="41"/>
        <v>1</v>
      </c>
      <c r="M201" s="16">
        <v>2</v>
      </c>
      <c r="N201" s="16">
        <v>0</v>
      </c>
      <c r="O201" s="16">
        <v>0</v>
      </c>
      <c r="P201" s="16">
        <v>1</v>
      </c>
      <c r="Q201" s="16">
        <v>0</v>
      </c>
      <c r="R201" s="16">
        <v>5</v>
      </c>
    </row>
    <row r="202" spans="1:18" x14ac:dyDescent="0.25">
      <c r="A202" s="71">
        <v>42248</v>
      </c>
      <c r="B202" s="20"/>
      <c r="C202" s="15" t="s">
        <v>74</v>
      </c>
      <c r="D202" s="16">
        <v>9</v>
      </c>
      <c r="E202" s="16">
        <v>16</v>
      </c>
      <c r="F202" s="100">
        <f t="shared" ref="F202:F216" si="42">IF(E202=0,0,D202/E202)</f>
        <v>0.5625</v>
      </c>
      <c r="G202" s="16">
        <v>1</v>
      </c>
      <c r="H202" s="16">
        <v>3</v>
      </c>
      <c r="I202" s="100">
        <f t="shared" ref="I202:I216" si="43">IF(H202=0,0,G202/H202)</f>
        <v>0.33333333333333331</v>
      </c>
      <c r="J202" s="16">
        <v>6</v>
      </c>
      <c r="K202" s="16">
        <v>6</v>
      </c>
      <c r="L202" s="100">
        <f t="shared" ref="L202:L216" si="44">IF(K202=0,0,J202/K202)</f>
        <v>1</v>
      </c>
      <c r="M202" s="16">
        <v>4</v>
      </c>
      <c r="N202" s="16">
        <v>1</v>
      </c>
      <c r="O202" s="16">
        <v>4</v>
      </c>
      <c r="P202" s="16">
        <v>5</v>
      </c>
      <c r="Q202" s="16">
        <v>0</v>
      </c>
      <c r="R202" s="16">
        <v>25</v>
      </c>
    </row>
    <row r="203" spans="1:18" x14ac:dyDescent="0.25">
      <c r="A203" s="71">
        <v>42248</v>
      </c>
      <c r="B203" s="20"/>
      <c r="C203" s="15" t="s">
        <v>75</v>
      </c>
      <c r="D203" s="16">
        <v>8</v>
      </c>
      <c r="E203" s="16">
        <v>20</v>
      </c>
      <c r="F203" s="100">
        <f t="shared" si="42"/>
        <v>0.4</v>
      </c>
      <c r="G203" s="16">
        <v>0</v>
      </c>
      <c r="H203" s="16">
        <v>0</v>
      </c>
      <c r="I203" s="100">
        <f t="shared" si="43"/>
        <v>0</v>
      </c>
      <c r="J203" s="16">
        <v>1</v>
      </c>
      <c r="K203" s="16">
        <v>2</v>
      </c>
      <c r="L203" s="100">
        <f t="shared" si="44"/>
        <v>0.5</v>
      </c>
      <c r="M203" s="16">
        <v>4</v>
      </c>
      <c r="N203" s="16">
        <v>3</v>
      </c>
      <c r="O203" s="16">
        <v>0</v>
      </c>
      <c r="P203" s="16">
        <v>2</v>
      </c>
      <c r="Q203" s="16">
        <v>2</v>
      </c>
      <c r="R203" s="16">
        <v>17</v>
      </c>
    </row>
    <row r="204" spans="1:18" x14ac:dyDescent="0.25">
      <c r="A204" s="71">
        <v>42248</v>
      </c>
      <c r="B204" s="20"/>
      <c r="C204" s="15" t="s">
        <v>109</v>
      </c>
      <c r="D204" s="16">
        <v>1</v>
      </c>
      <c r="E204" s="16">
        <v>9</v>
      </c>
      <c r="F204" s="100">
        <f t="shared" si="42"/>
        <v>0.1111111111111111</v>
      </c>
      <c r="G204" s="16">
        <v>1</v>
      </c>
      <c r="H204" s="16">
        <v>4</v>
      </c>
      <c r="I204" s="100">
        <f t="shared" si="43"/>
        <v>0.25</v>
      </c>
      <c r="J204" s="16">
        <v>0</v>
      </c>
      <c r="K204" s="16">
        <v>0</v>
      </c>
      <c r="L204" s="100">
        <f t="shared" si="44"/>
        <v>0</v>
      </c>
      <c r="M204" s="16">
        <v>5</v>
      </c>
      <c r="N204" s="16">
        <v>1</v>
      </c>
      <c r="O204" s="16">
        <v>1</v>
      </c>
      <c r="P204" s="16">
        <v>2</v>
      </c>
      <c r="Q204" s="16">
        <v>0</v>
      </c>
      <c r="R204" s="16">
        <v>3</v>
      </c>
    </row>
    <row r="205" spans="1:18" x14ac:dyDescent="0.25">
      <c r="A205" s="71">
        <v>42248</v>
      </c>
      <c r="B205" s="20"/>
      <c r="C205" s="15" t="s">
        <v>95</v>
      </c>
      <c r="D205" s="16">
        <v>2</v>
      </c>
      <c r="E205" s="16">
        <v>4</v>
      </c>
      <c r="F205" s="100">
        <f t="shared" si="42"/>
        <v>0.5</v>
      </c>
      <c r="G205" s="16">
        <v>1</v>
      </c>
      <c r="H205" s="16">
        <v>1</v>
      </c>
      <c r="I205" s="100">
        <f t="shared" si="43"/>
        <v>1</v>
      </c>
      <c r="J205" s="16">
        <v>0</v>
      </c>
      <c r="K205" s="16">
        <v>0</v>
      </c>
      <c r="L205" s="100">
        <f t="shared" si="44"/>
        <v>0</v>
      </c>
      <c r="M205" s="16">
        <v>0</v>
      </c>
      <c r="N205" s="16">
        <v>0</v>
      </c>
      <c r="O205" s="16">
        <v>0</v>
      </c>
      <c r="P205" s="16">
        <v>1</v>
      </c>
      <c r="Q205" s="16">
        <v>0</v>
      </c>
      <c r="R205" s="16">
        <v>5</v>
      </c>
    </row>
    <row r="206" spans="1:18" x14ac:dyDescent="0.25">
      <c r="A206" s="71">
        <v>42249</v>
      </c>
      <c r="B206" s="20"/>
      <c r="C206" s="15" t="s">
        <v>152</v>
      </c>
      <c r="D206" s="16">
        <v>1</v>
      </c>
      <c r="E206" s="16">
        <v>5</v>
      </c>
      <c r="F206" s="100">
        <f t="shared" si="42"/>
        <v>0.2</v>
      </c>
      <c r="G206" s="16">
        <v>0</v>
      </c>
      <c r="H206" s="16">
        <v>0</v>
      </c>
      <c r="I206" s="100">
        <f t="shared" si="43"/>
        <v>0</v>
      </c>
      <c r="J206" s="16">
        <v>1</v>
      </c>
      <c r="K206" s="16">
        <v>2</v>
      </c>
      <c r="L206" s="100">
        <f t="shared" si="44"/>
        <v>0.5</v>
      </c>
      <c r="M206" s="16">
        <v>4</v>
      </c>
      <c r="N206" s="16">
        <v>1</v>
      </c>
      <c r="O206" s="16">
        <v>0</v>
      </c>
      <c r="P206" s="16">
        <v>1</v>
      </c>
      <c r="Q206" s="16">
        <v>0</v>
      </c>
      <c r="R206" s="16">
        <v>3</v>
      </c>
    </row>
    <row r="207" spans="1:18" x14ac:dyDescent="0.25">
      <c r="A207" s="71">
        <v>42249</v>
      </c>
      <c r="B207" s="20"/>
      <c r="C207" s="15" t="s">
        <v>76</v>
      </c>
      <c r="D207" s="16">
        <v>2</v>
      </c>
      <c r="E207" s="16">
        <v>4</v>
      </c>
      <c r="F207" s="100">
        <f t="shared" si="42"/>
        <v>0.5</v>
      </c>
      <c r="G207" s="16">
        <v>0</v>
      </c>
      <c r="H207" s="16">
        <v>0</v>
      </c>
      <c r="I207" s="100">
        <f t="shared" si="43"/>
        <v>0</v>
      </c>
      <c r="J207" s="16">
        <v>0</v>
      </c>
      <c r="K207" s="16">
        <v>0</v>
      </c>
      <c r="L207" s="100">
        <f t="shared" si="44"/>
        <v>0</v>
      </c>
      <c r="M207" s="16">
        <v>1</v>
      </c>
      <c r="N207" s="16">
        <v>3</v>
      </c>
      <c r="O207" s="16">
        <v>1</v>
      </c>
      <c r="P207" s="16">
        <v>0</v>
      </c>
      <c r="Q207" s="16">
        <v>1</v>
      </c>
      <c r="R207" s="16">
        <v>4</v>
      </c>
    </row>
    <row r="208" spans="1:18" x14ac:dyDescent="0.25">
      <c r="A208" s="71">
        <v>42250</v>
      </c>
      <c r="B208" s="20"/>
      <c r="C208" s="15" t="s">
        <v>94</v>
      </c>
      <c r="D208" s="16">
        <v>5</v>
      </c>
      <c r="E208" s="16">
        <v>13</v>
      </c>
      <c r="F208" s="100">
        <f t="shared" si="42"/>
        <v>0.38461538461538464</v>
      </c>
      <c r="G208" s="16">
        <v>1</v>
      </c>
      <c r="H208" s="16">
        <v>4</v>
      </c>
      <c r="I208" s="100">
        <f t="shared" si="43"/>
        <v>0.25</v>
      </c>
      <c r="J208" s="16">
        <v>1</v>
      </c>
      <c r="K208" s="16">
        <v>2</v>
      </c>
      <c r="L208" s="100">
        <f t="shared" si="44"/>
        <v>0.5</v>
      </c>
      <c r="M208" s="16">
        <v>3</v>
      </c>
      <c r="N208" s="16">
        <v>0</v>
      </c>
      <c r="O208" s="16">
        <v>0</v>
      </c>
      <c r="P208" s="16">
        <v>2</v>
      </c>
      <c r="Q208" s="16">
        <v>0</v>
      </c>
      <c r="R208" s="16">
        <v>12</v>
      </c>
    </row>
    <row r="209" spans="1:18" x14ac:dyDescent="0.25">
      <c r="A209" s="71">
        <v>42250</v>
      </c>
      <c r="B209" s="20"/>
      <c r="C209" s="15" t="s">
        <v>95</v>
      </c>
      <c r="D209" s="16">
        <v>0</v>
      </c>
      <c r="E209" s="16">
        <v>3</v>
      </c>
      <c r="F209" s="100">
        <f t="shared" si="42"/>
        <v>0</v>
      </c>
      <c r="G209" s="16">
        <v>0</v>
      </c>
      <c r="H209" s="16">
        <v>1</v>
      </c>
      <c r="I209" s="100">
        <f t="shared" si="43"/>
        <v>0</v>
      </c>
      <c r="J209" s="16">
        <v>4</v>
      </c>
      <c r="K209" s="16">
        <v>6</v>
      </c>
      <c r="L209" s="100">
        <f t="shared" si="44"/>
        <v>0.66666666666666663</v>
      </c>
      <c r="M209" s="16">
        <v>2</v>
      </c>
      <c r="N209" s="16">
        <v>2</v>
      </c>
      <c r="O209" s="16">
        <v>1</v>
      </c>
      <c r="P209" s="16">
        <v>1</v>
      </c>
      <c r="Q209" s="16">
        <v>0</v>
      </c>
      <c r="R209" s="16">
        <v>4</v>
      </c>
    </row>
    <row r="210" spans="1:18" x14ac:dyDescent="0.25">
      <c r="A210" s="71">
        <v>42250</v>
      </c>
      <c r="B210" s="20"/>
      <c r="C210" s="15" t="s">
        <v>152</v>
      </c>
      <c r="D210" s="16">
        <v>2</v>
      </c>
      <c r="E210" s="16">
        <v>4</v>
      </c>
      <c r="F210" s="100">
        <f t="shared" si="42"/>
        <v>0.5</v>
      </c>
      <c r="G210" s="16">
        <v>0</v>
      </c>
      <c r="H210" s="16">
        <v>0</v>
      </c>
      <c r="I210" s="100">
        <f t="shared" si="43"/>
        <v>0</v>
      </c>
      <c r="J210" s="16">
        <v>0</v>
      </c>
      <c r="K210" s="16">
        <v>0</v>
      </c>
      <c r="L210" s="100">
        <f t="shared" si="44"/>
        <v>0</v>
      </c>
      <c r="M210" s="16">
        <v>0</v>
      </c>
      <c r="N210" s="16">
        <v>1</v>
      </c>
      <c r="O210" s="16">
        <v>0</v>
      </c>
      <c r="P210" s="16">
        <v>2</v>
      </c>
      <c r="Q210" s="16">
        <v>0</v>
      </c>
      <c r="R210" s="16">
        <v>4</v>
      </c>
    </row>
    <row r="211" spans="1:18" x14ac:dyDescent="0.25">
      <c r="A211" s="71">
        <v>42251</v>
      </c>
      <c r="B211" s="20"/>
      <c r="C211" s="15" t="s">
        <v>75</v>
      </c>
      <c r="D211" s="16">
        <v>8</v>
      </c>
      <c r="E211" s="16">
        <v>19</v>
      </c>
      <c r="F211" s="100">
        <f t="shared" si="42"/>
        <v>0.42105263157894735</v>
      </c>
      <c r="G211" s="16">
        <v>0</v>
      </c>
      <c r="H211" s="16">
        <v>0</v>
      </c>
      <c r="I211" s="100">
        <f t="shared" si="43"/>
        <v>0</v>
      </c>
      <c r="J211" s="16">
        <v>1</v>
      </c>
      <c r="K211" s="16">
        <v>2</v>
      </c>
      <c r="L211" s="100">
        <f t="shared" si="44"/>
        <v>0.5</v>
      </c>
      <c r="M211" s="16">
        <v>8</v>
      </c>
      <c r="N211" s="16">
        <v>3</v>
      </c>
      <c r="O211" s="16">
        <v>0</v>
      </c>
      <c r="P211" s="16">
        <v>2</v>
      </c>
      <c r="Q211" s="16">
        <v>1</v>
      </c>
      <c r="R211" s="16">
        <v>17</v>
      </c>
    </row>
    <row r="212" spans="1:18" x14ac:dyDescent="0.25">
      <c r="A212" s="71">
        <v>42251</v>
      </c>
      <c r="B212" s="20"/>
      <c r="C212" s="15" t="s">
        <v>109</v>
      </c>
      <c r="D212" s="16">
        <v>5</v>
      </c>
      <c r="E212" s="16">
        <v>9</v>
      </c>
      <c r="F212" s="100">
        <f t="shared" si="42"/>
        <v>0.55555555555555558</v>
      </c>
      <c r="G212" s="16">
        <v>0</v>
      </c>
      <c r="H212" s="16">
        <v>2</v>
      </c>
      <c r="I212" s="100">
        <f t="shared" si="43"/>
        <v>0</v>
      </c>
      <c r="J212" s="16">
        <v>0</v>
      </c>
      <c r="K212" s="16">
        <v>0</v>
      </c>
      <c r="L212" s="100">
        <f t="shared" si="44"/>
        <v>0</v>
      </c>
      <c r="M212" s="16">
        <v>3</v>
      </c>
      <c r="N212" s="16">
        <v>8</v>
      </c>
      <c r="O212" s="16">
        <v>0</v>
      </c>
      <c r="P212" s="16">
        <v>0</v>
      </c>
      <c r="Q212" s="16">
        <v>1</v>
      </c>
      <c r="R212" s="16">
        <v>10</v>
      </c>
    </row>
    <row r="213" spans="1:18" x14ac:dyDescent="0.25">
      <c r="A213" s="71">
        <v>42252</v>
      </c>
      <c r="B213" s="20"/>
      <c r="C213" s="15" t="s">
        <v>76</v>
      </c>
      <c r="D213" s="16">
        <v>2</v>
      </c>
      <c r="E213" s="16">
        <v>8</v>
      </c>
      <c r="F213" s="101">
        <f t="shared" si="42"/>
        <v>0.25</v>
      </c>
      <c r="G213" s="16">
        <v>1</v>
      </c>
      <c r="H213" s="16">
        <v>2</v>
      </c>
      <c r="I213" s="101">
        <f t="shared" si="43"/>
        <v>0.5</v>
      </c>
      <c r="J213" s="16">
        <v>2</v>
      </c>
      <c r="K213" s="16">
        <v>2</v>
      </c>
      <c r="L213" s="101">
        <f t="shared" si="44"/>
        <v>1</v>
      </c>
      <c r="M213" s="16">
        <v>2</v>
      </c>
      <c r="N213" s="16">
        <v>4</v>
      </c>
      <c r="O213" s="16">
        <v>0</v>
      </c>
      <c r="P213" s="16">
        <v>1</v>
      </c>
      <c r="Q213" s="16">
        <v>1</v>
      </c>
      <c r="R213" s="16">
        <v>7</v>
      </c>
    </row>
    <row r="214" spans="1:18" x14ac:dyDescent="0.25">
      <c r="A214" s="71">
        <v>42253</v>
      </c>
      <c r="B214" s="20"/>
      <c r="C214" s="15" t="s">
        <v>74</v>
      </c>
      <c r="D214" s="16">
        <v>7</v>
      </c>
      <c r="E214" s="16">
        <v>15</v>
      </c>
      <c r="F214" s="101">
        <f t="shared" si="42"/>
        <v>0.46666666666666667</v>
      </c>
      <c r="G214" s="16">
        <v>0</v>
      </c>
      <c r="H214" s="16">
        <v>3</v>
      </c>
      <c r="I214" s="101">
        <f t="shared" si="43"/>
        <v>0</v>
      </c>
      <c r="J214" s="16">
        <v>4</v>
      </c>
      <c r="K214" s="16">
        <v>6</v>
      </c>
      <c r="L214" s="101">
        <f t="shared" si="44"/>
        <v>0.66666666666666663</v>
      </c>
      <c r="M214" s="16">
        <v>2</v>
      </c>
      <c r="N214" s="16">
        <v>0</v>
      </c>
      <c r="O214" s="16">
        <v>4</v>
      </c>
      <c r="P214" s="16">
        <v>2</v>
      </c>
      <c r="Q214" s="16">
        <v>1</v>
      </c>
      <c r="R214" s="16">
        <v>18</v>
      </c>
    </row>
    <row r="215" spans="1:18" x14ac:dyDescent="0.25">
      <c r="A215" s="71">
        <v>42253</v>
      </c>
      <c r="B215" s="20"/>
      <c r="C215" s="15" t="s">
        <v>152</v>
      </c>
      <c r="D215" s="16">
        <v>3</v>
      </c>
      <c r="E215" s="16">
        <v>4</v>
      </c>
      <c r="F215" s="101">
        <f t="shared" si="42"/>
        <v>0.75</v>
      </c>
      <c r="G215" s="16">
        <v>0</v>
      </c>
      <c r="H215" s="16">
        <v>0</v>
      </c>
      <c r="I215" s="101">
        <f t="shared" si="43"/>
        <v>0</v>
      </c>
      <c r="J215" s="16">
        <v>1</v>
      </c>
      <c r="K215" s="16">
        <v>2</v>
      </c>
      <c r="L215" s="101">
        <f t="shared" si="44"/>
        <v>0.5</v>
      </c>
      <c r="M215" s="16">
        <v>3</v>
      </c>
      <c r="N215" s="16">
        <v>1</v>
      </c>
      <c r="O215" s="16">
        <v>0</v>
      </c>
      <c r="P215" s="16">
        <v>4</v>
      </c>
      <c r="Q215" s="16">
        <v>0</v>
      </c>
      <c r="R215" s="16">
        <v>7</v>
      </c>
    </row>
    <row r="216" spans="1:18" x14ac:dyDescent="0.25">
      <c r="A216" s="71">
        <v>42253</v>
      </c>
      <c r="B216" s="20"/>
      <c r="C216" s="15" t="s">
        <v>94</v>
      </c>
      <c r="D216" s="16">
        <v>3</v>
      </c>
      <c r="E216" s="16">
        <v>8</v>
      </c>
      <c r="F216" s="101">
        <f t="shared" si="42"/>
        <v>0.375</v>
      </c>
      <c r="G216" s="16">
        <v>2</v>
      </c>
      <c r="H216" s="16">
        <v>4</v>
      </c>
      <c r="I216" s="101">
        <f t="shared" si="43"/>
        <v>0.5</v>
      </c>
      <c r="J216" s="16">
        <v>0</v>
      </c>
      <c r="K216" s="16">
        <v>0</v>
      </c>
      <c r="L216" s="101">
        <f t="shared" si="44"/>
        <v>0</v>
      </c>
      <c r="M216" s="16">
        <v>1</v>
      </c>
      <c r="N216" s="16">
        <v>2</v>
      </c>
      <c r="O216" s="16">
        <v>0</v>
      </c>
      <c r="P216" s="16">
        <v>0</v>
      </c>
      <c r="Q216" s="16">
        <v>0</v>
      </c>
      <c r="R216" s="16">
        <v>8</v>
      </c>
    </row>
    <row r="217" spans="1:18" x14ac:dyDescent="0.25">
      <c r="A217" s="21">
        <v>42255</v>
      </c>
      <c r="B217" s="20"/>
      <c r="C217" s="15" t="s">
        <v>152</v>
      </c>
      <c r="D217" s="16">
        <v>2</v>
      </c>
      <c r="E217" s="16">
        <v>2</v>
      </c>
      <c r="F217" s="109">
        <f t="shared" ref="F217:F230" si="45">IF(E217=0,0,D217/E217)</f>
        <v>1</v>
      </c>
      <c r="G217" s="16">
        <v>0</v>
      </c>
      <c r="H217" s="16">
        <v>0</v>
      </c>
      <c r="I217" s="109">
        <f t="shared" ref="I217:I230" si="46">IF(H217=0,0,G217/H217)</f>
        <v>0</v>
      </c>
      <c r="J217" s="16">
        <v>1</v>
      </c>
      <c r="K217" s="16">
        <v>3</v>
      </c>
      <c r="L217" s="109">
        <f t="shared" ref="L217:L230" si="47">IF(K217=0,0,J217/K217)</f>
        <v>0.33333333333333331</v>
      </c>
      <c r="M217" s="16">
        <v>1</v>
      </c>
      <c r="N217" s="16">
        <v>2</v>
      </c>
      <c r="O217" s="16">
        <v>2</v>
      </c>
      <c r="P217" s="16">
        <v>1</v>
      </c>
      <c r="Q217" s="16">
        <v>0</v>
      </c>
      <c r="R217" s="16">
        <v>5</v>
      </c>
    </row>
    <row r="218" spans="1:18" x14ac:dyDescent="0.25">
      <c r="A218" s="21">
        <v>42255</v>
      </c>
      <c r="B218" s="20"/>
      <c r="C218" s="15" t="s">
        <v>94</v>
      </c>
      <c r="D218" s="16">
        <v>2</v>
      </c>
      <c r="E218" s="16">
        <v>4</v>
      </c>
      <c r="F218" s="109">
        <f t="shared" si="45"/>
        <v>0.5</v>
      </c>
      <c r="G218" s="16">
        <v>0</v>
      </c>
      <c r="H218" s="16">
        <v>1</v>
      </c>
      <c r="I218" s="109">
        <f t="shared" si="46"/>
        <v>0</v>
      </c>
      <c r="J218" s="16">
        <v>0</v>
      </c>
      <c r="K218" s="16">
        <v>0</v>
      </c>
      <c r="L218" s="109">
        <f t="shared" si="47"/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4</v>
      </c>
    </row>
    <row r="219" spans="1:18" x14ac:dyDescent="0.25">
      <c r="A219" s="21">
        <v>42256</v>
      </c>
      <c r="B219" s="20"/>
      <c r="C219" s="15" t="s">
        <v>75</v>
      </c>
      <c r="D219" s="16">
        <v>8</v>
      </c>
      <c r="E219" s="16">
        <v>19</v>
      </c>
      <c r="F219" s="109">
        <f t="shared" si="45"/>
        <v>0.42105263157894735</v>
      </c>
      <c r="G219" s="16">
        <v>0</v>
      </c>
      <c r="H219" s="16">
        <v>0</v>
      </c>
      <c r="I219" s="109">
        <f t="shared" si="46"/>
        <v>0</v>
      </c>
      <c r="J219" s="16">
        <v>3</v>
      </c>
      <c r="K219" s="16">
        <v>5</v>
      </c>
      <c r="L219" s="109">
        <f t="shared" si="47"/>
        <v>0.6</v>
      </c>
      <c r="M219" s="16">
        <v>10</v>
      </c>
      <c r="N219" s="16">
        <v>1</v>
      </c>
      <c r="O219" s="16">
        <v>1</v>
      </c>
      <c r="P219" s="16">
        <v>2</v>
      </c>
      <c r="Q219" s="16">
        <v>0</v>
      </c>
      <c r="R219" s="16">
        <v>19</v>
      </c>
    </row>
    <row r="220" spans="1:18" x14ac:dyDescent="0.25">
      <c r="A220" s="21">
        <v>42256</v>
      </c>
      <c r="B220" s="20"/>
      <c r="C220" s="15" t="s">
        <v>109</v>
      </c>
      <c r="D220" s="16">
        <v>1</v>
      </c>
      <c r="E220" s="16">
        <v>7</v>
      </c>
      <c r="F220" s="109">
        <f t="shared" si="45"/>
        <v>0.14285714285714285</v>
      </c>
      <c r="G220" s="16">
        <v>0</v>
      </c>
      <c r="H220" s="16">
        <v>2</v>
      </c>
      <c r="I220" s="109">
        <f t="shared" si="46"/>
        <v>0</v>
      </c>
      <c r="J220" s="16">
        <v>0</v>
      </c>
      <c r="K220" s="16">
        <v>0</v>
      </c>
      <c r="L220" s="109">
        <f t="shared" si="47"/>
        <v>0</v>
      </c>
      <c r="M220" s="16">
        <v>3</v>
      </c>
      <c r="N220" s="16">
        <v>4</v>
      </c>
      <c r="O220" s="16">
        <v>1</v>
      </c>
      <c r="P220" s="16">
        <v>1</v>
      </c>
      <c r="Q220" s="16">
        <v>0</v>
      </c>
      <c r="R220" s="16">
        <v>2</v>
      </c>
    </row>
    <row r="221" spans="1:18" x14ac:dyDescent="0.25">
      <c r="A221" s="21">
        <v>42256</v>
      </c>
      <c r="B221" s="20"/>
      <c r="C221" s="15" t="s">
        <v>74</v>
      </c>
      <c r="D221" s="16">
        <v>8</v>
      </c>
      <c r="E221" s="16">
        <v>14</v>
      </c>
      <c r="F221" s="109">
        <f t="shared" si="45"/>
        <v>0.5714285714285714</v>
      </c>
      <c r="G221" s="16">
        <v>1</v>
      </c>
      <c r="H221" s="16">
        <v>3</v>
      </c>
      <c r="I221" s="109">
        <f t="shared" si="46"/>
        <v>0.33333333333333331</v>
      </c>
      <c r="J221" s="16">
        <v>6</v>
      </c>
      <c r="K221" s="16">
        <v>6</v>
      </c>
      <c r="L221" s="109">
        <f t="shared" si="47"/>
        <v>1</v>
      </c>
      <c r="M221" s="16">
        <v>4</v>
      </c>
      <c r="N221" s="16">
        <v>2</v>
      </c>
      <c r="O221" s="16">
        <v>4</v>
      </c>
      <c r="P221" s="16">
        <v>1</v>
      </c>
      <c r="Q221" s="16">
        <v>0</v>
      </c>
      <c r="R221" s="16">
        <v>23</v>
      </c>
    </row>
    <row r="222" spans="1:18" x14ac:dyDescent="0.25">
      <c r="A222" s="21">
        <v>42258</v>
      </c>
      <c r="B222" s="20"/>
      <c r="C222" s="15" t="s">
        <v>152</v>
      </c>
      <c r="D222" s="16">
        <v>4</v>
      </c>
      <c r="E222" s="16">
        <v>9</v>
      </c>
      <c r="F222" s="121">
        <f t="shared" si="45"/>
        <v>0.44444444444444442</v>
      </c>
      <c r="G222" s="16">
        <v>0</v>
      </c>
      <c r="H222" s="16">
        <v>0</v>
      </c>
      <c r="I222" s="121">
        <f t="shared" si="46"/>
        <v>0</v>
      </c>
      <c r="J222" s="16">
        <v>1</v>
      </c>
      <c r="K222" s="16">
        <v>2</v>
      </c>
      <c r="L222" s="121">
        <f t="shared" si="47"/>
        <v>0.5</v>
      </c>
      <c r="M222" s="16">
        <v>9</v>
      </c>
      <c r="N222" s="16">
        <v>1</v>
      </c>
      <c r="O222" s="16">
        <v>0</v>
      </c>
      <c r="P222" s="16">
        <v>1</v>
      </c>
      <c r="Q222" s="16">
        <v>0</v>
      </c>
      <c r="R222" s="16">
        <v>9</v>
      </c>
    </row>
    <row r="223" spans="1:18" x14ac:dyDescent="0.25">
      <c r="A223" s="21">
        <v>42258</v>
      </c>
      <c r="B223" s="20"/>
      <c r="C223" s="15" t="s">
        <v>74</v>
      </c>
      <c r="D223" s="16">
        <v>4</v>
      </c>
      <c r="E223" s="16">
        <v>12</v>
      </c>
      <c r="F223" s="121">
        <f t="shared" si="45"/>
        <v>0.33333333333333331</v>
      </c>
      <c r="G223" s="16">
        <v>1</v>
      </c>
      <c r="H223" s="16">
        <v>3</v>
      </c>
      <c r="I223" s="121">
        <f t="shared" si="46"/>
        <v>0.33333333333333331</v>
      </c>
      <c r="J223" s="16">
        <v>2</v>
      </c>
      <c r="K223" s="16">
        <v>2</v>
      </c>
      <c r="L223" s="121">
        <f t="shared" si="47"/>
        <v>1</v>
      </c>
      <c r="M223" s="16">
        <v>3</v>
      </c>
      <c r="N223" s="16">
        <v>2</v>
      </c>
      <c r="O223" s="16">
        <v>1</v>
      </c>
      <c r="P223" s="16">
        <v>4</v>
      </c>
      <c r="Q223" s="16">
        <v>0</v>
      </c>
      <c r="R223" s="16">
        <v>11</v>
      </c>
    </row>
    <row r="224" spans="1:18" x14ac:dyDescent="0.25">
      <c r="A224" s="21">
        <v>42258</v>
      </c>
      <c r="B224" s="20"/>
      <c r="C224" s="15" t="s">
        <v>76</v>
      </c>
      <c r="D224" s="16">
        <v>3</v>
      </c>
      <c r="E224" s="16">
        <v>8</v>
      </c>
      <c r="F224" s="121">
        <f t="shared" si="45"/>
        <v>0.375</v>
      </c>
      <c r="G224" s="16">
        <v>0</v>
      </c>
      <c r="H224" s="16">
        <v>1</v>
      </c>
      <c r="I224" s="121">
        <f t="shared" si="46"/>
        <v>0</v>
      </c>
      <c r="J224" s="16">
        <v>3</v>
      </c>
      <c r="K224" s="16">
        <v>5</v>
      </c>
      <c r="L224" s="121">
        <f t="shared" si="47"/>
        <v>0.6</v>
      </c>
      <c r="M224" s="16">
        <v>3</v>
      </c>
      <c r="N224" s="16">
        <v>1</v>
      </c>
      <c r="O224" s="16">
        <v>0</v>
      </c>
      <c r="P224" s="16">
        <v>2</v>
      </c>
      <c r="Q224" s="16">
        <v>1</v>
      </c>
      <c r="R224" s="16">
        <v>9</v>
      </c>
    </row>
    <row r="225" spans="1:18" x14ac:dyDescent="0.25">
      <c r="A225" s="21">
        <v>42258</v>
      </c>
      <c r="B225" s="20"/>
      <c r="C225" s="15" t="s">
        <v>94</v>
      </c>
      <c r="D225" s="16">
        <v>6</v>
      </c>
      <c r="E225" s="16">
        <v>16</v>
      </c>
      <c r="F225" s="121">
        <f t="shared" si="45"/>
        <v>0.375</v>
      </c>
      <c r="G225" s="16">
        <v>1</v>
      </c>
      <c r="H225" s="16">
        <v>2</v>
      </c>
      <c r="I225" s="121">
        <f t="shared" si="46"/>
        <v>0.5</v>
      </c>
      <c r="J225" s="16">
        <v>3</v>
      </c>
      <c r="K225" s="16">
        <v>3</v>
      </c>
      <c r="L225" s="121">
        <f t="shared" si="47"/>
        <v>1</v>
      </c>
      <c r="M225" s="16">
        <v>4</v>
      </c>
      <c r="N225" s="16">
        <v>4</v>
      </c>
      <c r="O225" s="16">
        <v>1</v>
      </c>
      <c r="P225" s="16">
        <v>1</v>
      </c>
      <c r="Q225" s="16">
        <v>1</v>
      </c>
      <c r="R225" s="16">
        <v>16</v>
      </c>
    </row>
    <row r="226" spans="1:18" x14ac:dyDescent="0.25">
      <c r="A226" s="73">
        <v>42260</v>
      </c>
      <c r="B226" s="20"/>
      <c r="C226" s="15" t="s">
        <v>74</v>
      </c>
      <c r="D226" s="16">
        <v>10</v>
      </c>
      <c r="E226" s="16">
        <v>20</v>
      </c>
      <c r="F226" s="121">
        <f t="shared" si="45"/>
        <v>0.5</v>
      </c>
      <c r="G226" s="16">
        <v>3</v>
      </c>
      <c r="H226" s="16">
        <v>7</v>
      </c>
      <c r="I226" s="121">
        <f t="shared" si="46"/>
        <v>0.42857142857142855</v>
      </c>
      <c r="J226" s="16">
        <v>1</v>
      </c>
      <c r="K226" s="16">
        <v>1</v>
      </c>
      <c r="L226" s="121">
        <f t="shared" si="47"/>
        <v>1</v>
      </c>
      <c r="M226" s="16">
        <v>5</v>
      </c>
      <c r="N226" s="16">
        <v>2</v>
      </c>
      <c r="O226" s="16">
        <v>3</v>
      </c>
      <c r="P226" s="16">
        <v>2</v>
      </c>
      <c r="Q226" s="16">
        <v>1</v>
      </c>
      <c r="R226" s="16">
        <v>24</v>
      </c>
    </row>
    <row r="227" spans="1:18" x14ac:dyDescent="0.25">
      <c r="A227" s="73">
        <v>42260</v>
      </c>
      <c r="B227" s="20"/>
      <c r="C227" s="15" t="s">
        <v>152</v>
      </c>
      <c r="D227" s="16">
        <v>4</v>
      </c>
      <c r="E227" s="16">
        <v>4</v>
      </c>
      <c r="F227" s="121">
        <f t="shared" si="45"/>
        <v>1</v>
      </c>
      <c r="G227" s="16">
        <v>0</v>
      </c>
      <c r="H227" s="16">
        <v>0</v>
      </c>
      <c r="I227" s="121">
        <f t="shared" si="46"/>
        <v>0</v>
      </c>
      <c r="J227" s="16">
        <v>3</v>
      </c>
      <c r="K227" s="16">
        <v>3</v>
      </c>
      <c r="L227" s="121">
        <f t="shared" si="47"/>
        <v>1</v>
      </c>
      <c r="M227" s="16">
        <v>3</v>
      </c>
      <c r="N227" s="16">
        <v>3</v>
      </c>
      <c r="O227" s="16">
        <v>3</v>
      </c>
      <c r="P227" s="16">
        <v>1</v>
      </c>
      <c r="Q227" s="16">
        <v>0</v>
      </c>
      <c r="R227" s="16">
        <v>11</v>
      </c>
    </row>
    <row r="228" spans="1:18" x14ac:dyDescent="0.25">
      <c r="A228" s="73">
        <v>42260</v>
      </c>
      <c r="B228" s="20"/>
      <c r="C228" s="15" t="s">
        <v>75</v>
      </c>
      <c r="D228" s="16">
        <v>12</v>
      </c>
      <c r="E228" s="16">
        <v>24</v>
      </c>
      <c r="F228" s="121">
        <f t="shared" si="45"/>
        <v>0.5</v>
      </c>
      <c r="G228" s="16">
        <v>0</v>
      </c>
      <c r="H228" s="16">
        <v>0</v>
      </c>
      <c r="I228" s="121">
        <f t="shared" si="46"/>
        <v>0</v>
      </c>
      <c r="J228" s="16">
        <v>7</v>
      </c>
      <c r="K228" s="16">
        <v>9</v>
      </c>
      <c r="L228" s="121">
        <f t="shared" si="47"/>
        <v>0.77777777777777779</v>
      </c>
      <c r="M228" s="16">
        <v>4</v>
      </c>
      <c r="N228" s="16">
        <v>0</v>
      </c>
      <c r="O228" s="16">
        <v>0</v>
      </c>
      <c r="P228" s="16">
        <v>3</v>
      </c>
      <c r="Q228" s="16">
        <v>0</v>
      </c>
      <c r="R228" s="16">
        <v>31</v>
      </c>
    </row>
    <row r="229" spans="1:18" x14ac:dyDescent="0.25">
      <c r="A229" s="73">
        <v>42260</v>
      </c>
      <c r="B229" s="20"/>
      <c r="C229" s="15" t="s">
        <v>109</v>
      </c>
      <c r="D229" s="16">
        <v>3</v>
      </c>
      <c r="E229" s="16">
        <v>12</v>
      </c>
      <c r="F229" s="121">
        <f t="shared" si="45"/>
        <v>0.25</v>
      </c>
      <c r="G229" s="16">
        <v>1</v>
      </c>
      <c r="H229" s="16">
        <v>3</v>
      </c>
      <c r="I229" s="121">
        <f t="shared" si="46"/>
        <v>0.33333333333333331</v>
      </c>
      <c r="J229" s="16">
        <v>2</v>
      </c>
      <c r="K229" s="16">
        <v>2</v>
      </c>
      <c r="L229" s="121">
        <f t="shared" si="47"/>
        <v>1</v>
      </c>
      <c r="M229" s="16">
        <v>4</v>
      </c>
      <c r="N229" s="16">
        <v>7</v>
      </c>
      <c r="O229" s="16">
        <v>4</v>
      </c>
      <c r="P229" s="16">
        <v>4</v>
      </c>
      <c r="Q229" s="16">
        <v>1</v>
      </c>
      <c r="R229" s="16">
        <v>9</v>
      </c>
    </row>
    <row r="230" spans="1:18" x14ac:dyDescent="0.25">
      <c r="A230" s="73">
        <v>42260</v>
      </c>
      <c r="B230" s="20"/>
      <c r="C230" s="15" t="s">
        <v>101</v>
      </c>
      <c r="D230" s="16">
        <v>1</v>
      </c>
      <c r="E230" s="16">
        <v>9</v>
      </c>
      <c r="F230" s="121">
        <f t="shared" si="45"/>
        <v>0.1111111111111111</v>
      </c>
      <c r="G230" s="16">
        <v>0</v>
      </c>
      <c r="H230" s="16">
        <v>2</v>
      </c>
      <c r="I230" s="121">
        <f t="shared" si="46"/>
        <v>0</v>
      </c>
      <c r="J230" s="16">
        <v>4</v>
      </c>
      <c r="K230" s="16">
        <v>4</v>
      </c>
      <c r="L230" s="121">
        <f t="shared" si="47"/>
        <v>1</v>
      </c>
      <c r="M230" s="16">
        <v>5</v>
      </c>
      <c r="N230" s="16">
        <v>0</v>
      </c>
      <c r="O230" s="16">
        <v>1</v>
      </c>
      <c r="P230" s="16">
        <v>2</v>
      </c>
      <c r="Q230" s="16">
        <v>3</v>
      </c>
      <c r="R230" s="16">
        <v>6</v>
      </c>
    </row>
    <row r="232" spans="1:18" x14ac:dyDescent="0.25">
      <c r="A232" t="s">
        <v>17</v>
      </c>
      <c r="B232"/>
      <c r="C232" s="6"/>
      <c r="D232" s="6">
        <f>SUBTOTAL(109,alexisfanStats[FGM])</f>
        <v>891</v>
      </c>
      <c r="E232" s="6">
        <f>SUBTOTAL(109,alexisfanStats[FGA])</f>
        <v>2186</v>
      </c>
      <c r="F232" s="7">
        <f>alexisfanStats[[#Totals],[FGM]]/alexisfanStats[[#Totals],[FGA]]</f>
        <v>0.40759377859103385</v>
      </c>
      <c r="G232" s="6">
        <f>SUBTOTAL(109,alexisfanStats[3-PT FGM])</f>
        <v>124</v>
      </c>
      <c r="H232" s="6">
        <f>SUBTOTAL(109,alexisfanStats[3-PT FGA])</f>
        <v>410</v>
      </c>
      <c r="I232" s="7">
        <f>IF(alexisfanStats[[#Totals],[3-PT FGA]]=0,0,alexisfanStats[[#Totals],[3-PT FGM]]/alexisfanStats[[#Totals],[3-PT FGA]])</f>
        <v>0.30243902439024389</v>
      </c>
      <c r="J232" s="6">
        <f>SUBTOTAL(109,alexisfanStats[FTM])</f>
        <v>591</v>
      </c>
      <c r="K232" s="6">
        <f>SUBTOTAL(109,alexisfanStats[FTA])</f>
        <v>753</v>
      </c>
      <c r="L232" s="7">
        <f>alexisfanStats[[#Totals],[FTM]]/alexisfanStats[[#Totals],[FTA]]</f>
        <v>0.78486055776892427</v>
      </c>
      <c r="M232" s="6">
        <f>SUBTOTAL(109,alexisfanStats[REB])</f>
        <v>921</v>
      </c>
      <c r="N232" s="6">
        <f>SUBTOTAL(109,alexisfanStats[AST])</f>
        <v>552</v>
      </c>
      <c r="O232" s="6">
        <f>SUBTOTAL(109,alexisfanStats[STL])</f>
        <v>246</v>
      </c>
      <c r="P232" s="6">
        <f>SUBTOTAL(109,alexisfanStats[TO])</f>
        <v>465</v>
      </c>
      <c r="Q232" s="6">
        <f>SUBTOTAL(109,alexisfanStats[BLK])</f>
        <v>102</v>
      </c>
      <c r="R232" s="6">
        <f>SUBTOTAL(109,alexisfanStats[PTS])</f>
        <v>2497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9"/>
  <sheetViews>
    <sheetView showGridLines="0" topLeftCell="A207" workbookViewId="0">
      <selection sqref="A1:R229"/>
    </sheetView>
  </sheetViews>
  <sheetFormatPr defaultRowHeight="15" x14ac:dyDescent="0.25"/>
  <cols>
    <col min="1" max="1" width="7.42578125" bestFit="1" customWidth="1"/>
    <col min="2" max="2" width="1.42578125" style="6" bestFit="1" customWidth="1"/>
    <col min="3" max="3" width="20.140625" bestFit="1" customWidth="1"/>
    <col min="4" max="4" width="5.28515625" bestFit="1" customWidth="1"/>
    <col min="5" max="5" width="4.7109375" bestFit="1" customWidth="1"/>
    <col min="6" max="6" width="5.5703125" style="1" bestFit="1" customWidth="1"/>
    <col min="7" max="7" width="4.5703125" customWidth="1"/>
    <col min="8" max="8" width="5.42578125" customWidth="1"/>
    <col min="9" max="9" width="6.42578125" style="1" bestFit="1" customWidth="1"/>
    <col min="10" max="10" width="4.85546875" bestFit="1" customWidth="1"/>
    <col min="11" max="11" width="4.28515625" bestFit="1" customWidth="1"/>
    <col min="12" max="12" width="5.5703125" style="1" bestFit="1" customWidth="1"/>
    <col min="13" max="13" width="5" bestFit="1" customWidth="1"/>
    <col min="14" max="14" width="4.28515625" bestFit="1" customWidth="1"/>
    <col min="15" max="15" width="3.85546875" bestFit="1" customWidth="1"/>
    <col min="16" max="16" width="4" bestFit="1" customWidth="1"/>
    <col min="17" max="17" width="4.140625" bestFit="1" customWidth="1"/>
    <col min="18" max="18" width="5" bestFit="1" customWidth="1"/>
    <col min="20" max="20" width="6" customWidth="1"/>
  </cols>
  <sheetData>
    <row r="1" spans="1:18" s="2" customFormat="1" x14ac:dyDescent="0.25">
      <c r="A1" s="3" t="s">
        <v>0</v>
      </c>
      <c r="B1" s="11" t="s">
        <v>19</v>
      </c>
      <c r="C1" s="4" t="s">
        <v>1</v>
      </c>
      <c r="D1" s="3" t="s">
        <v>2</v>
      </c>
      <c r="E1" s="3" t="s">
        <v>3</v>
      </c>
      <c r="F1" s="5" t="s">
        <v>4</v>
      </c>
      <c r="G1" s="3" t="s">
        <v>5</v>
      </c>
      <c r="H1" s="3" t="s">
        <v>6</v>
      </c>
      <c r="I1" s="5" t="s">
        <v>7</v>
      </c>
      <c r="J1" s="3" t="s">
        <v>8</v>
      </c>
      <c r="K1" s="3" t="s">
        <v>9</v>
      </c>
      <c r="L1" s="5" t="s">
        <v>10</v>
      </c>
      <c r="M1" s="3" t="s">
        <v>11</v>
      </c>
      <c r="N1" s="3" t="s">
        <v>12</v>
      </c>
      <c r="O1" s="3" t="s">
        <v>15</v>
      </c>
      <c r="P1" s="3" t="s">
        <v>16</v>
      </c>
      <c r="Q1" s="3" t="s">
        <v>14</v>
      </c>
      <c r="R1" s="13" t="s">
        <v>13</v>
      </c>
    </row>
    <row r="2" spans="1:18" x14ac:dyDescent="0.25">
      <c r="A2" s="14">
        <v>42160</v>
      </c>
      <c r="B2" s="15"/>
      <c r="C2" s="10" t="s">
        <v>69</v>
      </c>
      <c r="D2" s="16">
        <v>2</v>
      </c>
      <c r="E2" s="16">
        <v>5</v>
      </c>
      <c r="F2" s="17">
        <f t="shared" ref="F2:F9" si="0">IF(E2=0,0,D2/E2)</f>
        <v>0.4</v>
      </c>
      <c r="G2" s="16">
        <v>0</v>
      </c>
      <c r="H2" s="16">
        <v>0</v>
      </c>
      <c r="I2" s="17">
        <f t="shared" ref="I2:I9" si="1">IF(H2=0,0,G2/H2)</f>
        <v>0</v>
      </c>
      <c r="J2" s="16">
        <v>1</v>
      </c>
      <c r="K2" s="16">
        <v>1</v>
      </c>
      <c r="L2" s="17">
        <f t="shared" ref="L2:L9" si="2">IF(K2=0,0,J2/K2)</f>
        <v>1</v>
      </c>
      <c r="M2" s="16">
        <v>4</v>
      </c>
      <c r="N2" s="16">
        <v>1</v>
      </c>
      <c r="O2" s="16">
        <v>0</v>
      </c>
      <c r="P2" s="16">
        <v>3</v>
      </c>
      <c r="Q2" s="16">
        <v>1</v>
      </c>
      <c r="R2" s="16">
        <v>5</v>
      </c>
    </row>
    <row r="3" spans="1:18" x14ac:dyDescent="0.25">
      <c r="A3" s="14">
        <v>42160</v>
      </c>
      <c r="B3" s="15"/>
      <c r="C3" s="10" t="s">
        <v>70</v>
      </c>
      <c r="D3" s="16">
        <v>7</v>
      </c>
      <c r="E3" s="16">
        <v>22</v>
      </c>
      <c r="F3" s="17">
        <f t="shared" si="0"/>
        <v>0.31818181818181818</v>
      </c>
      <c r="G3" s="16">
        <v>0</v>
      </c>
      <c r="H3" s="16">
        <v>0</v>
      </c>
      <c r="I3" s="17">
        <f t="shared" si="1"/>
        <v>0</v>
      </c>
      <c r="J3" s="16">
        <v>2</v>
      </c>
      <c r="K3" s="16">
        <v>2</v>
      </c>
      <c r="L3" s="17">
        <f t="shared" si="2"/>
        <v>1</v>
      </c>
      <c r="M3" s="16">
        <v>5</v>
      </c>
      <c r="N3" s="16">
        <v>3</v>
      </c>
      <c r="O3" s="16">
        <v>1</v>
      </c>
      <c r="P3" s="16">
        <v>4</v>
      </c>
      <c r="Q3" s="16">
        <v>2</v>
      </c>
      <c r="R3" s="16">
        <v>16</v>
      </c>
    </row>
    <row r="4" spans="1:18" x14ac:dyDescent="0.25">
      <c r="A4" s="26">
        <v>42160</v>
      </c>
      <c r="B4" s="26"/>
      <c r="C4" s="6" t="s">
        <v>71</v>
      </c>
      <c r="D4" s="23">
        <v>5</v>
      </c>
      <c r="E4" s="23">
        <v>10</v>
      </c>
      <c r="F4" s="24">
        <f t="shared" si="0"/>
        <v>0.5</v>
      </c>
      <c r="G4" s="23">
        <v>0</v>
      </c>
      <c r="H4" s="23">
        <v>0</v>
      </c>
      <c r="I4" s="24">
        <f t="shared" si="1"/>
        <v>0</v>
      </c>
      <c r="J4" s="23">
        <v>4</v>
      </c>
      <c r="K4" s="23">
        <v>4</v>
      </c>
      <c r="L4" s="24">
        <f t="shared" si="2"/>
        <v>1</v>
      </c>
      <c r="M4" s="23">
        <v>9</v>
      </c>
      <c r="N4" s="23">
        <v>2</v>
      </c>
      <c r="O4" s="23">
        <v>4</v>
      </c>
      <c r="P4" s="23">
        <v>1</v>
      </c>
      <c r="Q4" s="23">
        <v>1</v>
      </c>
      <c r="R4" s="25">
        <v>14</v>
      </c>
    </row>
    <row r="5" spans="1:18" x14ac:dyDescent="0.25">
      <c r="A5" s="26">
        <v>42160</v>
      </c>
      <c r="B5" s="26"/>
      <c r="C5" s="6" t="s">
        <v>72</v>
      </c>
      <c r="D5" s="23">
        <v>5</v>
      </c>
      <c r="E5" s="23">
        <v>9</v>
      </c>
      <c r="F5" s="24">
        <f t="shared" si="0"/>
        <v>0.55555555555555558</v>
      </c>
      <c r="G5" s="23">
        <v>1</v>
      </c>
      <c r="H5" s="23">
        <v>4</v>
      </c>
      <c r="I5" s="24">
        <f t="shared" si="1"/>
        <v>0.25</v>
      </c>
      <c r="J5" s="23">
        <v>3</v>
      </c>
      <c r="K5" s="23">
        <v>5</v>
      </c>
      <c r="L5" s="24">
        <f t="shared" si="2"/>
        <v>0.6</v>
      </c>
      <c r="M5" s="23">
        <v>6</v>
      </c>
      <c r="N5" s="23">
        <v>1</v>
      </c>
      <c r="O5" s="23">
        <v>0</v>
      </c>
      <c r="P5" s="23">
        <v>1</v>
      </c>
      <c r="Q5" s="23">
        <v>1</v>
      </c>
      <c r="R5" s="25">
        <v>14</v>
      </c>
    </row>
    <row r="6" spans="1:18" x14ac:dyDescent="0.25">
      <c r="A6" s="26">
        <v>42160</v>
      </c>
      <c r="B6" s="26"/>
      <c r="C6" s="6" t="s">
        <v>73</v>
      </c>
      <c r="D6" s="23">
        <v>2</v>
      </c>
      <c r="E6" s="23">
        <v>9</v>
      </c>
      <c r="F6" s="24">
        <f t="shared" si="0"/>
        <v>0.22222222222222221</v>
      </c>
      <c r="G6" s="23">
        <v>0</v>
      </c>
      <c r="H6" s="23">
        <v>1</v>
      </c>
      <c r="I6" s="24">
        <f t="shared" si="1"/>
        <v>0</v>
      </c>
      <c r="J6" s="23">
        <v>0</v>
      </c>
      <c r="K6" s="23">
        <v>0</v>
      </c>
      <c r="L6" s="24">
        <f t="shared" si="2"/>
        <v>0</v>
      </c>
      <c r="M6" s="23">
        <v>1</v>
      </c>
      <c r="N6" s="23">
        <v>5</v>
      </c>
      <c r="O6" s="23">
        <v>1</v>
      </c>
      <c r="P6" s="23">
        <v>2</v>
      </c>
      <c r="Q6" s="23">
        <v>1</v>
      </c>
      <c r="R6" s="25">
        <v>4</v>
      </c>
    </row>
    <row r="7" spans="1:18" x14ac:dyDescent="0.25">
      <c r="A7" s="26">
        <v>42161</v>
      </c>
      <c r="B7" s="26"/>
      <c r="C7" s="22" t="s">
        <v>73</v>
      </c>
      <c r="D7" s="23">
        <v>2</v>
      </c>
      <c r="E7" s="23">
        <v>7</v>
      </c>
      <c r="F7" s="24">
        <f t="shared" si="0"/>
        <v>0.2857142857142857</v>
      </c>
      <c r="G7" s="23">
        <v>0</v>
      </c>
      <c r="H7" s="23">
        <v>3</v>
      </c>
      <c r="I7" s="24">
        <f t="shared" si="1"/>
        <v>0</v>
      </c>
      <c r="J7" s="23">
        <v>0</v>
      </c>
      <c r="K7" s="23">
        <v>0</v>
      </c>
      <c r="L7" s="24">
        <f t="shared" si="2"/>
        <v>0</v>
      </c>
      <c r="M7" s="23">
        <v>0</v>
      </c>
      <c r="N7" s="23">
        <v>2</v>
      </c>
      <c r="O7" s="23">
        <v>2</v>
      </c>
      <c r="P7" s="23">
        <v>1</v>
      </c>
      <c r="Q7" s="23">
        <v>0</v>
      </c>
      <c r="R7" s="25">
        <v>4</v>
      </c>
    </row>
    <row r="8" spans="1:18" x14ac:dyDescent="0.25">
      <c r="A8" s="107">
        <v>42161</v>
      </c>
      <c r="B8" s="107"/>
      <c r="C8" s="103" t="s">
        <v>93</v>
      </c>
      <c r="D8" s="104">
        <v>0</v>
      </c>
      <c r="E8" s="104">
        <v>4</v>
      </c>
      <c r="F8" s="108">
        <f t="shared" si="0"/>
        <v>0</v>
      </c>
      <c r="G8" s="104">
        <v>0</v>
      </c>
      <c r="H8" s="104">
        <v>2</v>
      </c>
      <c r="I8" s="108">
        <f t="shared" si="1"/>
        <v>0</v>
      </c>
      <c r="J8" s="104">
        <v>0</v>
      </c>
      <c r="K8" s="104">
        <v>0</v>
      </c>
      <c r="L8" s="108">
        <f t="shared" si="2"/>
        <v>0</v>
      </c>
      <c r="M8" s="104">
        <v>6</v>
      </c>
      <c r="N8" s="104">
        <v>0</v>
      </c>
      <c r="O8" s="104">
        <v>0</v>
      </c>
      <c r="P8" s="104">
        <v>1</v>
      </c>
      <c r="Q8" s="104">
        <v>2</v>
      </c>
      <c r="R8" s="106">
        <v>0</v>
      </c>
    </row>
    <row r="9" spans="1:18" x14ac:dyDescent="0.25">
      <c r="A9" s="26">
        <v>42161</v>
      </c>
      <c r="B9" s="26"/>
      <c r="C9" s="22" t="s">
        <v>70</v>
      </c>
      <c r="D9" s="23">
        <v>4</v>
      </c>
      <c r="E9" s="23">
        <v>14</v>
      </c>
      <c r="F9" s="24">
        <f t="shared" si="0"/>
        <v>0.2857142857142857</v>
      </c>
      <c r="G9" s="23">
        <v>1</v>
      </c>
      <c r="H9" s="23">
        <v>3</v>
      </c>
      <c r="I9" s="24">
        <f t="shared" si="1"/>
        <v>0.33333333333333331</v>
      </c>
      <c r="J9" s="23">
        <v>2</v>
      </c>
      <c r="K9" s="23">
        <v>2</v>
      </c>
      <c r="L9" s="24">
        <f t="shared" si="2"/>
        <v>1</v>
      </c>
      <c r="M9" s="23">
        <v>3</v>
      </c>
      <c r="N9" s="23">
        <v>0</v>
      </c>
      <c r="O9" s="23">
        <v>0</v>
      </c>
      <c r="P9" s="23">
        <v>0</v>
      </c>
      <c r="Q9" s="23">
        <v>0</v>
      </c>
      <c r="R9" s="25">
        <v>11</v>
      </c>
    </row>
    <row r="10" spans="1:18" x14ac:dyDescent="0.25">
      <c r="A10" s="43">
        <v>42162</v>
      </c>
      <c r="B10" s="43"/>
      <c r="C10" s="22" t="s">
        <v>69</v>
      </c>
      <c r="D10" s="23">
        <v>4</v>
      </c>
      <c r="E10" s="23">
        <v>7</v>
      </c>
      <c r="F10" s="24">
        <f t="shared" ref="F10:F18" si="3">IF(E10=0,0,D10/E10)</f>
        <v>0.5714285714285714</v>
      </c>
      <c r="G10" s="23">
        <v>0</v>
      </c>
      <c r="H10" s="23">
        <v>0</v>
      </c>
      <c r="I10" s="24">
        <f t="shared" ref="I10:I18" si="4">IF(H10=0,0,G10/H10)</f>
        <v>0</v>
      </c>
      <c r="J10" s="23">
        <v>0</v>
      </c>
      <c r="K10" s="23">
        <v>0</v>
      </c>
      <c r="L10" s="24">
        <f t="shared" ref="L10:L18" si="5">IF(K10=0,0,J10/K10)</f>
        <v>0</v>
      </c>
      <c r="M10" s="23">
        <v>11</v>
      </c>
      <c r="N10" s="23">
        <v>2</v>
      </c>
      <c r="O10" s="23">
        <v>1</v>
      </c>
      <c r="P10" s="23">
        <v>2</v>
      </c>
      <c r="Q10" s="23">
        <v>2</v>
      </c>
      <c r="R10" s="25">
        <v>8</v>
      </c>
    </row>
    <row r="11" spans="1:18" x14ac:dyDescent="0.25">
      <c r="A11" s="26">
        <v>42164</v>
      </c>
      <c r="B11" s="26"/>
      <c r="C11" s="22" t="s">
        <v>62</v>
      </c>
      <c r="D11" s="23">
        <v>0</v>
      </c>
      <c r="E11" s="23">
        <v>0</v>
      </c>
      <c r="F11" s="38">
        <f t="shared" si="3"/>
        <v>0</v>
      </c>
      <c r="G11" s="23">
        <v>0</v>
      </c>
      <c r="H11" s="23">
        <v>0</v>
      </c>
      <c r="I11" s="38">
        <f t="shared" si="4"/>
        <v>0</v>
      </c>
      <c r="J11" s="23">
        <v>0</v>
      </c>
      <c r="K11" s="23">
        <v>0</v>
      </c>
      <c r="L11" s="38">
        <f t="shared" si="5"/>
        <v>0</v>
      </c>
      <c r="M11" s="23">
        <v>0</v>
      </c>
      <c r="N11" s="23">
        <v>1</v>
      </c>
      <c r="O11" s="23">
        <v>0</v>
      </c>
      <c r="P11" s="23">
        <v>0</v>
      </c>
      <c r="Q11" s="23">
        <v>0</v>
      </c>
      <c r="R11" s="25">
        <v>0</v>
      </c>
    </row>
    <row r="12" spans="1:18" x14ac:dyDescent="0.25">
      <c r="A12" s="43">
        <v>42166</v>
      </c>
      <c r="B12" s="43"/>
      <c r="C12" s="22" t="s">
        <v>69</v>
      </c>
      <c r="D12" s="23">
        <v>5</v>
      </c>
      <c r="E12" s="23">
        <v>12</v>
      </c>
      <c r="F12" s="38">
        <f t="shared" si="3"/>
        <v>0.41666666666666669</v>
      </c>
      <c r="G12" s="23">
        <v>0</v>
      </c>
      <c r="H12" s="23">
        <v>0</v>
      </c>
      <c r="I12" s="38">
        <f t="shared" si="4"/>
        <v>0</v>
      </c>
      <c r="J12" s="23">
        <v>3</v>
      </c>
      <c r="K12" s="23">
        <v>4</v>
      </c>
      <c r="L12" s="38">
        <f t="shared" si="5"/>
        <v>0.75</v>
      </c>
      <c r="M12" s="23">
        <v>9</v>
      </c>
      <c r="N12" s="23">
        <v>2</v>
      </c>
      <c r="O12" s="23">
        <v>1</v>
      </c>
      <c r="P12" s="23">
        <v>4</v>
      </c>
      <c r="Q12" s="23">
        <v>1</v>
      </c>
      <c r="R12" s="25">
        <v>13</v>
      </c>
    </row>
    <row r="13" spans="1:18" x14ac:dyDescent="0.25">
      <c r="A13" s="43">
        <v>42166</v>
      </c>
      <c r="B13" s="43"/>
      <c r="C13" s="22" t="s">
        <v>70</v>
      </c>
      <c r="D13" s="23">
        <v>6</v>
      </c>
      <c r="E13" s="23">
        <v>10</v>
      </c>
      <c r="F13" s="38">
        <f t="shared" si="3"/>
        <v>0.6</v>
      </c>
      <c r="G13" s="23">
        <v>0</v>
      </c>
      <c r="H13" s="23">
        <v>1</v>
      </c>
      <c r="I13" s="38">
        <f t="shared" si="4"/>
        <v>0</v>
      </c>
      <c r="J13" s="23">
        <v>0</v>
      </c>
      <c r="K13" s="23">
        <v>0</v>
      </c>
      <c r="L13" s="38">
        <f t="shared" si="5"/>
        <v>0</v>
      </c>
      <c r="M13" s="23">
        <v>3</v>
      </c>
      <c r="N13" s="23">
        <v>3</v>
      </c>
      <c r="O13" s="23">
        <v>0</v>
      </c>
      <c r="P13" s="23">
        <v>3</v>
      </c>
      <c r="Q13" s="23">
        <v>0</v>
      </c>
      <c r="R13" s="25">
        <v>12</v>
      </c>
    </row>
    <row r="14" spans="1:18" x14ac:dyDescent="0.25">
      <c r="A14" s="21">
        <v>42166</v>
      </c>
      <c r="B14" s="20"/>
      <c r="C14" s="41" t="s">
        <v>71</v>
      </c>
      <c r="D14" s="42">
        <v>6</v>
      </c>
      <c r="E14" s="42">
        <v>15</v>
      </c>
      <c r="F14" s="19">
        <f t="shared" si="3"/>
        <v>0.4</v>
      </c>
      <c r="G14" s="42">
        <v>0</v>
      </c>
      <c r="H14" s="42">
        <v>0</v>
      </c>
      <c r="I14" s="19">
        <f t="shared" si="4"/>
        <v>0</v>
      </c>
      <c r="J14" s="42">
        <v>0</v>
      </c>
      <c r="K14" s="42">
        <v>0</v>
      </c>
      <c r="L14" s="19">
        <f t="shared" si="5"/>
        <v>0</v>
      </c>
      <c r="M14" s="42">
        <v>4</v>
      </c>
      <c r="N14" s="42">
        <v>1</v>
      </c>
      <c r="O14" s="42">
        <v>1</v>
      </c>
      <c r="P14" s="42">
        <v>0</v>
      </c>
      <c r="Q14" s="42">
        <v>1</v>
      </c>
      <c r="R14" s="42">
        <v>12</v>
      </c>
    </row>
    <row r="15" spans="1:18" x14ac:dyDescent="0.25">
      <c r="A15" s="43">
        <v>42166</v>
      </c>
      <c r="B15" s="43"/>
      <c r="C15" s="22" t="s">
        <v>62</v>
      </c>
      <c r="D15" s="23">
        <v>0</v>
      </c>
      <c r="E15" s="23">
        <v>2</v>
      </c>
      <c r="F15" s="38">
        <f t="shared" si="3"/>
        <v>0</v>
      </c>
      <c r="G15" s="23">
        <v>0</v>
      </c>
      <c r="H15" s="23">
        <v>2</v>
      </c>
      <c r="I15" s="38">
        <f t="shared" si="4"/>
        <v>0</v>
      </c>
      <c r="J15" s="23">
        <v>0</v>
      </c>
      <c r="K15" s="23">
        <v>0</v>
      </c>
      <c r="L15" s="38">
        <f t="shared" si="5"/>
        <v>0</v>
      </c>
      <c r="M15" s="23">
        <v>2</v>
      </c>
      <c r="N15" s="23">
        <v>1</v>
      </c>
      <c r="O15" s="23">
        <v>0</v>
      </c>
      <c r="P15" s="23">
        <v>2</v>
      </c>
      <c r="Q15" s="23">
        <v>0</v>
      </c>
      <c r="R15" s="25">
        <v>0</v>
      </c>
    </row>
    <row r="16" spans="1:18" x14ac:dyDescent="0.25">
      <c r="A16" s="43">
        <v>42166</v>
      </c>
      <c r="B16" s="43"/>
      <c r="C16" s="22" t="s">
        <v>72</v>
      </c>
      <c r="D16" s="23">
        <v>0</v>
      </c>
      <c r="E16" s="23">
        <v>4</v>
      </c>
      <c r="F16" s="38">
        <f t="shared" si="3"/>
        <v>0</v>
      </c>
      <c r="G16" s="23">
        <v>0</v>
      </c>
      <c r="H16" s="23">
        <v>4</v>
      </c>
      <c r="I16" s="38">
        <f t="shared" si="4"/>
        <v>0</v>
      </c>
      <c r="J16" s="23">
        <v>0</v>
      </c>
      <c r="K16" s="23">
        <v>0</v>
      </c>
      <c r="L16" s="38">
        <f t="shared" si="5"/>
        <v>0</v>
      </c>
      <c r="M16" s="23">
        <v>3</v>
      </c>
      <c r="N16" s="23">
        <v>0</v>
      </c>
      <c r="O16" s="23">
        <v>0</v>
      </c>
      <c r="P16" s="23">
        <v>2</v>
      </c>
      <c r="Q16" s="23">
        <v>0</v>
      </c>
      <c r="R16" s="25">
        <v>0</v>
      </c>
    </row>
    <row r="17" spans="1:18" x14ac:dyDescent="0.25">
      <c r="A17" s="43">
        <v>42167</v>
      </c>
      <c r="B17" s="43"/>
      <c r="C17" s="22" t="s">
        <v>69</v>
      </c>
      <c r="D17" s="23">
        <v>3</v>
      </c>
      <c r="E17" s="23">
        <v>7</v>
      </c>
      <c r="F17" s="38">
        <f t="shared" si="3"/>
        <v>0.42857142857142855</v>
      </c>
      <c r="G17" s="23">
        <v>0</v>
      </c>
      <c r="H17" s="23">
        <v>0</v>
      </c>
      <c r="I17" s="38">
        <f t="shared" si="4"/>
        <v>0</v>
      </c>
      <c r="J17" s="23">
        <v>0</v>
      </c>
      <c r="K17" s="23">
        <v>1</v>
      </c>
      <c r="L17" s="38">
        <f t="shared" si="5"/>
        <v>0</v>
      </c>
      <c r="M17" s="23">
        <v>6</v>
      </c>
      <c r="N17" s="23">
        <v>1</v>
      </c>
      <c r="O17" s="23">
        <v>0</v>
      </c>
      <c r="P17" s="23">
        <v>1</v>
      </c>
      <c r="Q17" s="23">
        <v>0</v>
      </c>
      <c r="R17" s="25">
        <v>6</v>
      </c>
    </row>
    <row r="18" spans="1:18" x14ac:dyDescent="0.25">
      <c r="A18" s="43">
        <v>42167</v>
      </c>
      <c r="B18" s="43"/>
      <c r="C18" s="22" t="s">
        <v>71</v>
      </c>
      <c r="D18" s="23">
        <v>7</v>
      </c>
      <c r="E18" s="23">
        <v>13</v>
      </c>
      <c r="F18" s="38">
        <f t="shared" si="3"/>
        <v>0.53846153846153844</v>
      </c>
      <c r="G18" s="23">
        <v>0</v>
      </c>
      <c r="H18" s="23">
        <v>0</v>
      </c>
      <c r="I18" s="38">
        <f t="shared" si="4"/>
        <v>0</v>
      </c>
      <c r="J18" s="23">
        <v>7</v>
      </c>
      <c r="K18" s="23">
        <v>8</v>
      </c>
      <c r="L18" s="38">
        <f t="shared" si="5"/>
        <v>0.875</v>
      </c>
      <c r="M18" s="23">
        <v>5</v>
      </c>
      <c r="N18" s="23">
        <v>2</v>
      </c>
      <c r="O18" s="23">
        <v>1</v>
      </c>
      <c r="P18" s="23">
        <v>3</v>
      </c>
      <c r="Q18" s="23">
        <v>1</v>
      </c>
      <c r="R18" s="25">
        <v>21</v>
      </c>
    </row>
    <row r="19" spans="1:18" x14ac:dyDescent="0.25">
      <c r="A19" s="43">
        <v>42169</v>
      </c>
      <c r="B19" s="43"/>
      <c r="C19" s="22" t="s">
        <v>107</v>
      </c>
      <c r="D19" s="23">
        <v>0</v>
      </c>
      <c r="E19" s="23">
        <v>4</v>
      </c>
      <c r="F19" s="38">
        <f t="shared" ref="F19:F28" si="6">IF(E19=0,0,D19/E19)</f>
        <v>0</v>
      </c>
      <c r="G19" s="23">
        <v>0</v>
      </c>
      <c r="H19" s="23">
        <v>0</v>
      </c>
      <c r="I19" s="38">
        <f t="shared" ref="I19:I28" si="7">IF(H19=0,0,G19/H19)</f>
        <v>0</v>
      </c>
      <c r="J19" s="23">
        <v>3</v>
      </c>
      <c r="K19" s="23">
        <v>4</v>
      </c>
      <c r="L19" s="38">
        <f t="shared" ref="L19:L28" si="8">IF(K19=0,0,J19/K19)</f>
        <v>0.75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5">
        <v>3</v>
      </c>
    </row>
    <row r="20" spans="1:18" x14ac:dyDescent="0.25">
      <c r="A20" s="43">
        <v>42169</v>
      </c>
      <c r="B20" s="43"/>
      <c r="C20" s="22" t="s">
        <v>70</v>
      </c>
      <c r="D20" s="23">
        <v>6</v>
      </c>
      <c r="E20" s="23">
        <v>12</v>
      </c>
      <c r="F20" s="38">
        <f t="shared" si="6"/>
        <v>0.5</v>
      </c>
      <c r="G20" s="23">
        <v>0</v>
      </c>
      <c r="H20" s="23">
        <v>2</v>
      </c>
      <c r="I20" s="38">
        <f t="shared" si="7"/>
        <v>0</v>
      </c>
      <c r="J20" s="23">
        <v>5</v>
      </c>
      <c r="K20" s="23">
        <v>5</v>
      </c>
      <c r="L20" s="38">
        <f t="shared" si="8"/>
        <v>1</v>
      </c>
      <c r="M20" s="23">
        <v>6</v>
      </c>
      <c r="N20" s="23">
        <v>1</v>
      </c>
      <c r="O20" s="23">
        <v>1</v>
      </c>
      <c r="P20" s="23">
        <v>0</v>
      </c>
      <c r="Q20" s="23">
        <v>0</v>
      </c>
      <c r="R20" s="25">
        <v>17</v>
      </c>
    </row>
    <row r="21" spans="1:18" x14ac:dyDescent="0.25">
      <c r="A21" s="117">
        <v>42169</v>
      </c>
      <c r="B21" s="117"/>
      <c r="C21" s="111" t="s">
        <v>71</v>
      </c>
      <c r="D21" s="112">
        <v>7</v>
      </c>
      <c r="E21" s="112">
        <v>15</v>
      </c>
      <c r="F21" s="114">
        <f t="shared" si="6"/>
        <v>0.46666666666666667</v>
      </c>
      <c r="G21" s="112">
        <v>0</v>
      </c>
      <c r="H21" s="112">
        <v>0</v>
      </c>
      <c r="I21" s="114">
        <f t="shared" si="7"/>
        <v>0</v>
      </c>
      <c r="J21" s="112">
        <v>2</v>
      </c>
      <c r="K21" s="112">
        <v>2</v>
      </c>
      <c r="L21" s="114">
        <f t="shared" si="8"/>
        <v>1</v>
      </c>
      <c r="M21" s="112">
        <v>5</v>
      </c>
      <c r="N21" s="112">
        <v>1</v>
      </c>
      <c r="O21" s="112">
        <v>1</v>
      </c>
      <c r="P21" s="112">
        <v>0</v>
      </c>
      <c r="Q21" s="112">
        <v>1</v>
      </c>
      <c r="R21" s="115">
        <v>16</v>
      </c>
    </row>
    <row r="22" spans="1:18" x14ac:dyDescent="0.25">
      <c r="A22" s="117">
        <v>42169</v>
      </c>
      <c r="B22" s="117"/>
      <c r="C22" s="111" t="s">
        <v>72</v>
      </c>
      <c r="D22" s="112">
        <v>1</v>
      </c>
      <c r="E22" s="112">
        <v>3</v>
      </c>
      <c r="F22" s="114">
        <f t="shared" si="6"/>
        <v>0.33333333333333331</v>
      </c>
      <c r="G22" s="112">
        <v>0</v>
      </c>
      <c r="H22" s="112">
        <v>1</v>
      </c>
      <c r="I22" s="114">
        <f t="shared" si="7"/>
        <v>0</v>
      </c>
      <c r="J22" s="112">
        <v>0</v>
      </c>
      <c r="K22" s="112">
        <v>0</v>
      </c>
      <c r="L22" s="114">
        <f t="shared" si="8"/>
        <v>0</v>
      </c>
      <c r="M22" s="112">
        <v>0</v>
      </c>
      <c r="N22" s="112">
        <v>0</v>
      </c>
      <c r="O22" s="112">
        <v>0</v>
      </c>
      <c r="P22" s="112">
        <v>1</v>
      </c>
      <c r="Q22" s="112">
        <v>0</v>
      </c>
      <c r="R22" s="115">
        <v>2</v>
      </c>
    </row>
    <row r="23" spans="1:18" x14ac:dyDescent="0.25">
      <c r="A23" s="117">
        <v>42169</v>
      </c>
      <c r="B23" s="117"/>
      <c r="C23" s="111" t="s">
        <v>69</v>
      </c>
      <c r="D23" s="112">
        <v>5</v>
      </c>
      <c r="E23" s="112">
        <v>9</v>
      </c>
      <c r="F23" s="114">
        <f t="shared" si="6"/>
        <v>0.55555555555555558</v>
      </c>
      <c r="G23" s="112">
        <v>0</v>
      </c>
      <c r="H23" s="112">
        <v>0</v>
      </c>
      <c r="I23" s="114">
        <f t="shared" si="7"/>
        <v>0</v>
      </c>
      <c r="J23" s="112">
        <v>0</v>
      </c>
      <c r="K23" s="112">
        <v>0</v>
      </c>
      <c r="L23" s="114">
        <f t="shared" si="8"/>
        <v>0</v>
      </c>
      <c r="M23" s="112">
        <v>3</v>
      </c>
      <c r="N23" s="112">
        <v>2</v>
      </c>
      <c r="O23" s="112">
        <v>3</v>
      </c>
      <c r="P23" s="112">
        <v>1</v>
      </c>
      <c r="Q23" s="112">
        <v>0</v>
      </c>
      <c r="R23" s="115">
        <v>10</v>
      </c>
    </row>
    <row r="24" spans="1:18" x14ac:dyDescent="0.25">
      <c r="A24" s="21">
        <v>42169</v>
      </c>
      <c r="B24" s="20"/>
      <c r="C24" s="15" t="s">
        <v>54</v>
      </c>
      <c r="D24" s="16">
        <v>3</v>
      </c>
      <c r="E24" s="16">
        <v>9</v>
      </c>
      <c r="F24" s="45">
        <f t="shared" si="6"/>
        <v>0.33333333333333331</v>
      </c>
      <c r="G24" s="16">
        <v>1</v>
      </c>
      <c r="H24" s="16">
        <v>4</v>
      </c>
      <c r="I24" s="45">
        <f t="shared" si="7"/>
        <v>0.25</v>
      </c>
      <c r="J24" s="16">
        <v>1</v>
      </c>
      <c r="K24" s="16">
        <v>1</v>
      </c>
      <c r="L24" s="45">
        <f t="shared" si="8"/>
        <v>1</v>
      </c>
      <c r="M24" s="16">
        <v>2</v>
      </c>
      <c r="N24" s="16">
        <v>1</v>
      </c>
      <c r="O24" s="16">
        <v>1</v>
      </c>
      <c r="P24" s="16">
        <v>1</v>
      </c>
      <c r="Q24" s="16">
        <v>0</v>
      </c>
      <c r="R24" s="16">
        <v>8</v>
      </c>
    </row>
    <row r="25" spans="1:18" x14ac:dyDescent="0.25">
      <c r="A25" s="21">
        <v>42171</v>
      </c>
      <c r="B25" s="20"/>
      <c r="C25" s="15" t="s">
        <v>70</v>
      </c>
      <c r="D25" s="16">
        <v>10</v>
      </c>
      <c r="E25" s="16">
        <v>16</v>
      </c>
      <c r="F25" s="45">
        <f t="shared" si="6"/>
        <v>0.625</v>
      </c>
      <c r="G25" s="16">
        <v>0</v>
      </c>
      <c r="H25" s="16">
        <v>3</v>
      </c>
      <c r="I25" s="45">
        <f t="shared" si="7"/>
        <v>0</v>
      </c>
      <c r="J25" s="16">
        <v>0</v>
      </c>
      <c r="K25" s="16">
        <v>0</v>
      </c>
      <c r="L25" s="45">
        <f t="shared" si="8"/>
        <v>0</v>
      </c>
      <c r="M25" s="16">
        <v>3</v>
      </c>
      <c r="N25" s="16">
        <v>4</v>
      </c>
      <c r="O25" s="16">
        <v>1</v>
      </c>
      <c r="P25" s="16">
        <v>1</v>
      </c>
      <c r="Q25" s="16">
        <v>0</v>
      </c>
      <c r="R25" s="16">
        <v>20</v>
      </c>
    </row>
    <row r="26" spans="1:18" x14ac:dyDescent="0.25">
      <c r="A26" s="21">
        <v>42171</v>
      </c>
      <c r="B26" s="20"/>
      <c r="C26" s="15" t="s">
        <v>108</v>
      </c>
      <c r="D26" s="16">
        <v>4</v>
      </c>
      <c r="E26" s="16">
        <v>8</v>
      </c>
      <c r="F26" s="45">
        <f t="shared" si="6"/>
        <v>0.5</v>
      </c>
      <c r="G26" s="16">
        <v>0</v>
      </c>
      <c r="H26" s="16">
        <v>0</v>
      </c>
      <c r="I26" s="45">
        <f t="shared" si="7"/>
        <v>0</v>
      </c>
      <c r="J26" s="16">
        <v>0</v>
      </c>
      <c r="K26" s="16">
        <v>0</v>
      </c>
      <c r="L26" s="45">
        <f t="shared" si="8"/>
        <v>0</v>
      </c>
      <c r="M26" s="16">
        <v>0</v>
      </c>
      <c r="N26" s="16">
        <v>4</v>
      </c>
      <c r="O26" s="16">
        <v>0</v>
      </c>
      <c r="P26" s="16">
        <v>2</v>
      </c>
      <c r="Q26" s="16">
        <v>0</v>
      </c>
      <c r="R26" s="16">
        <v>8</v>
      </c>
    </row>
    <row r="27" spans="1:18" x14ac:dyDescent="0.25">
      <c r="A27" s="21">
        <v>42171</v>
      </c>
      <c r="B27" s="20"/>
      <c r="C27" s="15" t="s">
        <v>69</v>
      </c>
      <c r="D27" s="16">
        <v>5</v>
      </c>
      <c r="E27" s="16">
        <v>9</v>
      </c>
      <c r="F27" s="45">
        <f t="shared" si="6"/>
        <v>0.55555555555555558</v>
      </c>
      <c r="G27" s="16">
        <v>0</v>
      </c>
      <c r="H27" s="16">
        <v>0</v>
      </c>
      <c r="I27" s="45">
        <f t="shared" si="7"/>
        <v>0</v>
      </c>
      <c r="J27" s="16">
        <v>0</v>
      </c>
      <c r="K27" s="16">
        <v>0</v>
      </c>
      <c r="L27" s="45">
        <f t="shared" si="8"/>
        <v>0</v>
      </c>
      <c r="M27" s="16">
        <v>9</v>
      </c>
      <c r="N27" s="16">
        <v>4</v>
      </c>
      <c r="O27" s="16">
        <v>1</v>
      </c>
      <c r="P27" s="16">
        <v>3</v>
      </c>
      <c r="Q27" s="16">
        <v>2</v>
      </c>
      <c r="R27" s="16">
        <v>10</v>
      </c>
    </row>
    <row r="28" spans="1:18" x14ac:dyDescent="0.25">
      <c r="A28" s="21">
        <v>42171</v>
      </c>
      <c r="B28" s="20"/>
      <c r="C28" s="15" t="s">
        <v>72</v>
      </c>
      <c r="D28" s="16">
        <v>0</v>
      </c>
      <c r="E28" s="16">
        <v>3</v>
      </c>
      <c r="F28" s="45">
        <f t="shared" si="6"/>
        <v>0</v>
      </c>
      <c r="G28" s="16">
        <v>0</v>
      </c>
      <c r="H28" s="16">
        <v>2</v>
      </c>
      <c r="I28" s="45">
        <f t="shared" si="7"/>
        <v>0</v>
      </c>
      <c r="J28" s="16">
        <v>0</v>
      </c>
      <c r="K28" s="16">
        <v>0</v>
      </c>
      <c r="L28" s="45">
        <f t="shared" si="8"/>
        <v>0</v>
      </c>
      <c r="M28" s="16">
        <v>0</v>
      </c>
      <c r="N28" s="16">
        <v>0</v>
      </c>
      <c r="O28" s="16">
        <v>0</v>
      </c>
      <c r="P28" s="16">
        <v>1</v>
      </c>
      <c r="Q28" s="16">
        <v>0</v>
      </c>
      <c r="R28" s="16">
        <v>0</v>
      </c>
    </row>
    <row r="29" spans="1:18" x14ac:dyDescent="0.25">
      <c r="A29" s="21">
        <v>42174</v>
      </c>
      <c r="B29" s="20"/>
      <c r="C29" s="15" t="s">
        <v>69</v>
      </c>
      <c r="D29" s="16">
        <v>6</v>
      </c>
      <c r="E29" s="16">
        <v>11</v>
      </c>
      <c r="F29" s="19">
        <f t="shared" ref="F29:F54" si="9">IF(E29=0,0,D29/E29)</f>
        <v>0.54545454545454541</v>
      </c>
      <c r="G29" s="16">
        <v>0</v>
      </c>
      <c r="H29" s="16">
        <v>0</v>
      </c>
      <c r="I29" s="19">
        <f t="shared" ref="I29:I54" si="10">IF(H29=0,0,G29/H29)</f>
        <v>0</v>
      </c>
      <c r="J29" s="16">
        <v>1</v>
      </c>
      <c r="K29" s="16">
        <v>1</v>
      </c>
      <c r="L29" s="19">
        <f t="shared" ref="L29:L54" si="11">IF(K29=0,0,J29/K29)</f>
        <v>1</v>
      </c>
      <c r="M29" s="16">
        <v>11</v>
      </c>
      <c r="N29" s="16">
        <v>1</v>
      </c>
      <c r="O29" s="16">
        <v>0</v>
      </c>
      <c r="P29" s="16">
        <v>0</v>
      </c>
      <c r="Q29" s="16">
        <v>0</v>
      </c>
      <c r="R29" s="16">
        <v>13</v>
      </c>
    </row>
    <row r="30" spans="1:18" x14ac:dyDescent="0.25">
      <c r="A30" s="21">
        <v>42174</v>
      </c>
      <c r="B30" s="20"/>
      <c r="C30" s="15" t="s">
        <v>70</v>
      </c>
      <c r="D30" s="16">
        <v>9</v>
      </c>
      <c r="E30" s="16">
        <v>12</v>
      </c>
      <c r="F30" s="19">
        <f t="shared" si="9"/>
        <v>0.75</v>
      </c>
      <c r="G30" s="16">
        <v>0</v>
      </c>
      <c r="H30" s="16">
        <v>1</v>
      </c>
      <c r="I30" s="19">
        <f t="shared" si="10"/>
        <v>0</v>
      </c>
      <c r="J30" s="16">
        <v>0</v>
      </c>
      <c r="K30" s="16">
        <v>0</v>
      </c>
      <c r="L30" s="19">
        <f t="shared" si="11"/>
        <v>0</v>
      </c>
      <c r="M30" s="16">
        <v>2</v>
      </c>
      <c r="N30" s="16">
        <v>4</v>
      </c>
      <c r="O30" s="16">
        <v>2</v>
      </c>
      <c r="P30" s="16">
        <v>0</v>
      </c>
      <c r="Q30" s="16">
        <v>0</v>
      </c>
      <c r="R30" s="16">
        <v>18</v>
      </c>
    </row>
    <row r="31" spans="1:18" x14ac:dyDescent="0.25">
      <c r="A31" s="21">
        <v>42174</v>
      </c>
      <c r="B31" s="20"/>
      <c r="C31" s="15" t="s">
        <v>71</v>
      </c>
      <c r="D31" s="16">
        <v>8</v>
      </c>
      <c r="E31" s="16">
        <v>18</v>
      </c>
      <c r="F31" s="19">
        <f t="shared" si="9"/>
        <v>0.44444444444444442</v>
      </c>
      <c r="G31" s="16">
        <v>0</v>
      </c>
      <c r="H31" s="16">
        <v>0</v>
      </c>
      <c r="I31" s="19">
        <f t="shared" si="10"/>
        <v>0</v>
      </c>
      <c r="J31" s="16">
        <v>2</v>
      </c>
      <c r="K31" s="16">
        <v>4</v>
      </c>
      <c r="L31" s="19">
        <f t="shared" si="11"/>
        <v>0.5</v>
      </c>
      <c r="M31" s="16">
        <v>6</v>
      </c>
      <c r="N31" s="16">
        <v>2</v>
      </c>
      <c r="O31" s="16">
        <v>1</v>
      </c>
      <c r="P31" s="16">
        <v>3</v>
      </c>
      <c r="Q31" s="16">
        <v>1</v>
      </c>
      <c r="R31" s="16">
        <v>18</v>
      </c>
    </row>
    <row r="32" spans="1:18" x14ac:dyDescent="0.25">
      <c r="A32" s="21">
        <v>42174</v>
      </c>
      <c r="B32" s="20"/>
      <c r="C32" s="15" t="s">
        <v>30</v>
      </c>
      <c r="D32" s="16">
        <v>2</v>
      </c>
      <c r="E32" s="16">
        <v>4</v>
      </c>
      <c r="F32" s="19">
        <f t="shared" si="9"/>
        <v>0.5</v>
      </c>
      <c r="G32" s="16">
        <v>1</v>
      </c>
      <c r="H32" s="16">
        <v>1</v>
      </c>
      <c r="I32" s="19">
        <f t="shared" si="10"/>
        <v>1</v>
      </c>
      <c r="J32" s="16">
        <v>1</v>
      </c>
      <c r="K32" s="16">
        <v>2</v>
      </c>
      <c r="L32" s="19">
        <f t="shared" si="11"/>
        <v>0.5</v>
      </c>
      <c r="M32" s="16">
        <v>3</v>
      </c>
      <c r="N32" s="16">
        <v>2</v>
      </c>
      <c r="O32" s="16">
        <v>2</v>
      </c>
      <c r="P32" s="16">
        <v>0</v>
      </c>
      <c r="Q32" s="16">
        <v>0</v>
      </c>
      <c r="R32" s="16">
        <v>6</v>
      </c>
    </row>
    <row r="33" spans="1:18" x14ac:dyDescent="0.25">
      <c r="A33" s="21">
        <v>42174</v>
      </c>
      <c r="B33" s="20"/>
      <c r="C33" s="15" t="s">
        <v>108</v>
      </c>
      <c r="D33" s="16">
        <v>6</v>
      </c>
      <c r="E33" s="16">
        <v>9</v>
      </c>
      <c r="F33" s="19">
        <f t="shared" si="9"/>
        <v>0.66666666666666663</v>
      </c>
      <c r="G33" s="16">
        <v>0</v>
      </c>
      <c r="H33" s="16">
        <v>0</v>
      </c>
      <c r="I33" s="19">
        <f t="shared" si="10"/>
        <v>0</v>
      </c>
      <c r="J33" s="16">
        <v>0</v>
      </c>
      <c r="K33" s="16">
        <v>0</v>
      </c>
      <c r="L33" s="19">
        <f t="shared" si="11"/>
        <v>0</v>
      </c>
      <c r="M33" s="16">
        <v>5</v>
      </c>
      <c r="N33" s="16">
        <v>2</v>
      </c>
      <c r="O33" s="16">
        <v>0</v>
      </c>
      <c r="P33" s="16">
        <v>1</v>
      </c>
      <c r="Q33" s="16">
        <v>3</v>
      </c>
      <c r="R33" s="16">
        <v>12</v>
      </c>
    </row>
    <row r="34" spans="1:18" x14ac:dyDescent="0.25">
      <c r="A34" s="43">
        <v>42174</v>
      </c>
      <c r="B34" s="43"/>
      <c r="C34" s="22" t="s">
        <v>54</v>
      </c>
      <c r="D34" s="23">
        <v>2</v>
      </c>
      <c r="E34" s="23">
        <v>5</v>
      </c>
      <c r="F34" s="38">
        <f t="shared" si="9"/>
        <v>0.4</v>
      </c>
      <c r="G34" s="23">
        <v>1</v>
      </c>
      <c r="H34" s="23">
        <v>3</v>
      </c>
      <c r="I34" s="38">
        <f t="shared" si="10"/>
        <v>0.33333333333333331</v>
      </c>
      <c r="J34" s="23">
        <v>0</v>
      </c>
      <c r="K34" s="23">
        <v>0</v>
      </c>
      <c r="L34" s="38">
        <f t="shared" si="11"/>
        <v>0</v>
      </c>
      <c r="M34" s="23">
        <v>1</v>
      </c>
      <c r="N34" s="23">
        <v>3</v>
      </c>
      <c r="O34" s="23">
        <v>1</v>
      </c>
      <c r="P34" s="23">
        <v>0</v>
      </c>
      <c r="Q34" s="23">
        <v>0</v>
      </c>
      <c r="R34" s="25">
        <v>5</v>
      </c>
    </row>
    <row r="35" spans="1:18" x14ac:dyDescent="0.25">
      <c r="A35" s="43">
        <v>42175</v>
      </c>
      <c r="B35" s="43"/>
      <c r="C35" s="22" t="s">
        <v>30</v>
      </c>
      <c r="D35" s="23">
        <v>5</v>
      </c>
      <c r="E35" s="23">
        <v>8</v>
      </c>
      <c r="F35" s="38">
        <f t="shared" si="9"/>
        <v>0.625</v>
      </c>
      <c r="G35" s="23">
        <v>1</v>
      </c>
      <c r="H35" s="23">
        <v>2</v>
      </c>
      <c r="I35" s="38">
        <f t="shared" si="10"/>
        <v>0.5</v>
      </c>
      <c r="J35" s="23">
        <v>0</v>
      </c>
      <c r="K35" s="23">
        <v>0</v>
      </c>
      <c r="L35" s="38">
        <f t="shared" si="11"/>
        <v>0</v>
      </c>
      <c r="M35" s="23">
        <v>4</v>
      </c>
      <c r="N35" s="23">
        <v>2</v>
      </c>
      <c r="O35" s="23">
        <v>2</v>
      </c>
      <c r="P35" s="23">
        <v>0</v>
      </c>
      <c r="Q35" s="23">
        <v>0</v>
      </c>
      <c r="R35" s="25">
        <v>11</v>
      </c>
    </row>
    <row r="36" spans="1:18" x14ac:dyDescent="0.25">
      <c r="A36" s="43">
        <v>42175</v>
      </c>
      <c r="B36" s="43"/>
      <c r="C36" s="22" t="s">
        <v>73</v>
      </c>
      <c r="D36" s="23">
        <v>9</v>
      </c>
      <c r="E36" s="23">
        <v>16</v>
      </c>
      <c r="F36" s="38">
        <f t="shared" si="9"/>
        <v>0.5625</v>
      </c>
      <c r="G36" s="23">
        <v>1</v>
      </c>
      <c r="H36" s="23">
        <v>3</v>
      </c>
      <c r="I36" s="38">
        <f t="shared" si="10"/>
        <v>0.33333333333333331</v>
      </c>
      <c r="J36" s="23">
        <v>0</v>
      </c>
      <c r="K36" s="23">
        <v>2</v>
      </c>
      <c r="L36" s="38">
        <f t="shared" si="11"/>
        <v>0</v>
      </c>
      <c r="M36" s="23">
        <v>4</v>
      </c>
      <c r="N36" s="23">
        <v>3</v>
      </c>
      <c r="O36" s="23">
        <v>1</v>
      </c>
      <c r="P36" s="23">
        <v>1</v>
      </c>
      <c r="Q36" s="23">
        <v>0</v>
      </c>
      <c r="R36" s="25">
        <v>19</v>
      </c>
    </row>
    <row r="37" spans="1:18" x14ac:dyDescent="0.25">
      <c r="A37" s="43">
        <v>42175</v>
      </c>
      <c r="B37" s="43"/>
      <c r="C37" s="22" t="s">
        <v>112</v>
      </c>
      <c r="D37" s="23">
        <v>0</v>
      </c>
      <c r="E37" s="23">
        <v>1</v>
      </c>
      <c r="F37" s="38">
        <f t="shared" si="9"/>
        <v>0</v>
      </c>
      <c r="G37" s="23">
        <v>0</v>
      </c>
      <c r="H37" s="23">
        <v>0</v>
      </c>
      <c r="I37" s="38">
        <f t="shared" si="10"/>
        <v>0</v>
      </c>
      <c r="J37" s="23">
        <v>0</v>
      </c>
      <c r="K37" s="23">
        <v>0</v>
      </c>
      <c r="L37" s="38">
        <f t="shared" si="11"/>
        <v>0</v>
      </c>
      <c r="M37" s="23">
        <v>4</v>
      </c>
      <c r="N37" s="23">
        <v>0</v>
      </c>
      <c r="O37" s="23">
        <v>0</v>
      </c>
      <c r="P37" s="23">
        <v>1</v>
      </c>
      <c r="Q37" s="23">
        <v>0</v>
      </c>
      <c r="R37" s="25">
        <v>0</v>
      </c>
    </row>
    <row r="38" spans="1:18" x14ac:dyDescent="0.25">
      <c r="A38" s="43">
        <v>42175</v>
      </c>
      <c r="B38" s="43"/>
      <c r="C38" s="22" t="s">
        <v>54</v>
      </c>
      <c r="D38" s="23">
        <v>1</v>
      </c>
      <c r="E38" s="23">
        <v>6</v>
      </c>
      <c r="F38" s="38">
        <f t="shared" si="9"/>
        <v>0.16666666666666666</v>
      </c>
      <c r="G38" s="23">
        <v>1</v>
      </c>
      <c r="H38" s="23">
        <v>6</v>
      </c>
      <c r="I38" s="38">
        <f t="shared" si="10"/>
        <v>0.16666666666666666</v>
      </c>
      <c r="J38" s="23">
        <v>1</v>
      </c>
      <c r="K38" s="23">
        <v>2</v>
      </c>
      <c r="L38" s="38">
        <f t="shared" si="11"/>
        <v>0.5</v>
      </c>
      <c r="M38" s="23">
        <v>0</v>
      </c>
      <c r="N38" s="23">
        <v>0</v>
      </c>
      <c r="O38" s="23">
        <v>1</v>
      </c>
      <c r="P38" s="23">
        <v>0</v>
      </c>
      <c r="Q38" s="23">
        <v>0</v>
      </c>
      <c r="R38" s="25">
        <v>4</v>
      </c>
    </row>
    <row r="39" spans="1:18" x14ac:dyDescent="0.25">
      <c r="A39" s="43">
        <v>42176</v>
      </c>
      <c r="B39" s="43"/>
      <c r="C39" s="22" t="s">
        <v>69</v>
      </c>
      <c r="D39" s="23">
        <v>3</v>
      </c>
      <c r="E39" s="23">
        <v>6</v>
      </c>
      <c r="F39" s="38">
        <f t="shared" si="9"/>
        <v>0.5</v>
      </c>
      <c r="G39" s="23">
        <v>0</v>
      </c>
      <c r="H39" s="23">
        <v>0</v>
      </c>
      <c r="I39" s="38">
        <f t="shared" si="10"/>
        <v>0</v>
      </c>
      <c r="J39" s="23">
        <v>1</v>
      </c>
      <c r="K39" s="23">
        <v>2</v>
      </c>
      <c r="L39" s="38">
        <f t="shared" si="11"/>
        <v>0.5</v>
      </c>
      <c r="M39" s="23">
        <v>9</v>
      </c>
      <c r="N39" s="23">
        <v>0</v>
      </c>
      <c r="O39" s="23">
        <v>1</v>
      </c>
      <c r="P39" s="23">
        <v>0</v>
      </c>
      <c r="Q39" s="23">
        <v>0</v>
      </c>
      <c r="R39" s="25">
        <v>7</v>
      </c>
    </row>
    <row r="40" spans="1:18" x14ac:dyDescent="0.25">
      <c r="A40" s="43">
        <v>42176</v>
      </c>
      <c r="B40" s="43"/>
      <c r="C40" s="22" t="s">
        <v>108</v>
      </c>
      <c r="D40" s="23">
        <v>2</v>
      </c>
      <c r="E40" s="23">
        <v>6</v>
      </c>
      <c r="F40" s="38">
        <f t="shared" si="9"/>
        <v>0.33333333333333331</v>
      </c>
      <c r="G40" s="23">
        <v>0</v>
      </c>
      <c r="H40" s="23">
        <v>0</v>
      </c>
      <c r="I40" s="38">
        <f t="shared" si="10"/>
        <v>0</v>
      </c>
      <c r="J40" s="23">
        <v>0</v>
      </c>
      <c r="K40" s="23">
        <v>0</v>
      </c>
      <c r="L40" s="38">
        <f t="shared" si="11"/>
        <v>0</v>
      </c>
      <c r="M40" s="23">
        <v>2</v>
      </c>
      <c r="N40" s="23">
        <v>3</v>
      </c>
      <c r="O40" s="23">
        <v>0</v>
      </c>
      <c r="P40" s="23">
        <v>3</v>
      </c>
      <c r="Q40" s="23">
        <v>0</v>
      </c>
      <c r="R40" s="25">
        <v>4</v>
      </c>
    </row>
    <row r="41" spans="1:18" x14ac:dyDescent="0.25">
      <c r="A41" s="43">
        <v>42176</v>
      </c>
      <c r="B41" s="43"/>
      <c r="C41" s="22" t="s">
        <v>70</v>
      </c>
      <c r="D41" s="23">
        <v>7</v>
      </c>
      <c r="E41" s="23">
        <v>13</v>
      </c>
      <c r="F41" s="38">
        <f t="shared" si="9"/>
        <v>0.53846153846153844</v>
      </c>
      <c r="G41" s="23">
        <v>0</v>
      </c>
      <c r="H41" s="23">
        <v>2</v>
      </c>
      <c r="I41" s="38">
        <f t="shared" si="10"/>
        <v>0</v>
      </c>
      <c r="J41" s="23">
        <v>1</v>
      </c>
      <c r="K41" s="23">
        <v>1</v>
      </c>
      <c r="L41" s="38">
        <f t="shared" si="11"/>
        <v>1</v>
      </c>
      <c r="M41" s="23">
        <v>1</v>
      </c>
      <c r="N41" s="23">
        <v>5</v>
      </c>
      <c r="O41" s="23">
        <v>0</v>
      </c>
      <c r="P41" s="23">
        <v>1</v>
      </c>
      <c r="Q41" s="23">
        <v>1</v>
      </c>
      <c r="R41" s="25">
        <v>15</v>
      </c>
    </row>
    <row r="42" spans="1:18" x14ac:dyDescent="0.25">
      <c r="A42" s="43">
        <v>42176</v>
      </c>
      <c r="B42" s="43"/>
      <c r="C42" s="22" t="s">
        <v>71</v>
      </c>
      <c r="D42" s="23">
        <v>6</v>
      </c>
      <c r="E42" s="23">
        <v>13</v>
      </c>
      <c r="F42" s="38">
        <f t="shared" si="9"/>
        <v>0.46153846153846156</v>
      </c>
      <c r="G42" s="23">
        <v>0</v>
      </c>
      <c r="H42" s="23">
        <v>0</v>
      </c>
      <c r="I42" s="38">
        <f t="shared" si="10"/>
        <v>0</v>
      </c>
      <c r="J42" s="23">
        <v>3</v>
      </c>
      <c r="K42" s="23">
        <v>4</v>
      </c>
      <c r="L42" s="38">
        <f t="shared" si="11"/>
        <v>0.75</v>
      </c>
      <c r="M42" s="23">
        <v>8</v>
      </c>
      <c r="N42" s="23">
        <v>0</v>
      </c>
      <c r="O42" s="23">
        <v>1</v>
      </c>
      <c r="P42" s="23">
        <v>0</v>
      </c>
      <c r="Q42" s="23">
        <v>1</v>
      </c>
      <c r="R42" s="25">
        <v>15</v>
      </c>
    </row>
    <row r="43" spans="1:18" x14ac:dyDescent="0.25">
      <c r="A43" s="43">
        <v>42178</v>
      </c>
      <c r="B43" s="43"/>
      <c r="C43" s="22" t="s">
        <v>54</v>
      </c>
      <c r="D43" s="23">
        <v>3</v>
      </c>
      <c r="E43" s="23">
        <v>8</v>
      </c>
      <c r="F43" s="38">
        <f t="shared" si="9"/>
        <v>0.375</v>
      </c>
      <c r="G43" s="23">
        <v>1</v>
      </c>
      <c r="H43" s="23">
        <v>4</v>
      </c>
      <c r="I43" s="38">
        <f t="shared" si="10"/>
        <v>0.25</v>
      </c>
      <c r="J43" s="23">
        <v>0</v>
      </c>
      <c r="K43" s="23">
        <v>1</v>
      </c>
      <c r="L43" s="38">
        <f t="shared" si="11"/>
        <v>0</v>
      </c>
      <c r="M43" s="23">
        <v>1</v>
      </c>
      <c r="N43" s="23">
        <v>1</v>
      </c>
      <c r="O43" s="23">
        <v>2</v>
      </c>
      <c r="P43" s="23">
        <v>2</v>
      </c>
      <c r="Q43" s="23">
        <v>0</v>
      </c>
      <c r="R43" s="25">
        <v>7</v>
      </c>
    </row>
    <row r="44" spans="1:18" x14ac:dyDescent="0.25">
      <c r="A44" s="43">
        <v>42179</v>
      </c>
      <c r="B44" s="43"/>
      <c r="C44" s="22" t="s">
        <v>73</v>
      </c>
      <c r="D44" s="23">
        <v>5</v>
      </c>
      <c r="E44" s="23">
        <v>11</v>
      </c>
      <c r="F44" s="38">
        <f t="shared" si="9"/>
        <v>0.45454545454545453</v>
      </c>
      <c r="G44" s="23">
        <v>0</v>
      </c>
      <c r="H44" s="23">
        <v>2</v>
      </c>
      <c r="I44" s="38">
        <f t="shared" si="10"/>
        <v>0</v>
      </c>
      <c r="J44" s="23">
        <v>6</v>
      </c>
      <c r="K44" s="23">
        <v>6</v>
      </c>
      <c r="L44" s="38">
        <f t="shared" si="11"/>
        <v>1</v>
      </c>
      <c r="M44" s="23">
        <v>5</v>
      </c>
      <c r="N44" s="23">
        <v>1</v>
      </c>
      <c r="O44" s="23">
        <v>1</v>
      </c>
      <c r="P44" s="23">
        <v>3</v>
      </c>
      <c r="Q44" s="23">
        <v>1</v>
      </c>
      <c r="R44" s="25">
        <v>16</v>
      </c>
    </row>
    <row r="45" spans="1:18" x14ac:dyDescent="0.25">
      <c r="A45" s="43">
        <v>42179</v>
      </c>
      <c r="B45" s="43"/>
      <c r="C45" s="22" t="s">
        <v>69</v>
      </c>
      <c r="D45" s="23">
        <v>5</v>
      </c>
      <c r="E45" s="23">
        <v>10</v>
      </c>
      <c r="F45" s="38">
        <f t="shared" si="9"/>
        <v>0.5</v>
      </c>
      <c r="G45" s="23">
        <v>0</v>
      </c>
      <c r="H45" s="23">
        <v>0</v>
      </c>
      <c r="I45" s="38">
        <f t="shared" si="10"/>
        <v>0</v>
      </c>
      <c r="J45" s="23">
        <v>1</v>
      </c>
      <c r="K45" s="23">
        <v>2</v>
      </c>
      <c r="L45" s="38">
        <f t="shared" si="11"/>
        <v>0.5</v>
      </c>
      <c r="M45" s="23">
        <v>9</v>
      </c>
      <c r="N45" s="23">
        <v>1</v>
      </c>
      <c r="O45" s="23">
        <v>1</v>
      </c>
      <c r="P45" s="23">
        <v>2</v>
      </c>
      <c r="Q45" s="23">
        <v>1</v>
      </c>
      <c r="R45" s="25">
        <v>11</v>
      </c>
    </row>
    <row r="46" spans="1:18" x14ac:dyDescent="0.25">
      <c r="A46" s="43">
        <v>42179</v>
      </c>
      <c r="B46" s="43"/>
      <c r="C46" s="22" t="s">
        <v>112</v>
      </c>
      <c r="D46" s="23">
        <v>1</v>
      </c>
      <c r="E46" s="23">
        <v>5</v>
      </c>
      <c r="F46" s="38">
        <f t="shared" si="9"/>
        <v>0.2</v>
      </c>
      <c r="G46" s="23">
        <v>0</v>
      </c>
      <c r="H46" s="23">
        <v>0</v>
      </c>
      <c r="I46" s="38">
        <f t="shared" si="10"/>
        <v>0</v>
      </c>
      <c r="J46" s="23">
        <v>0</v>
      </c>
      <c r="K46" s="23">
        <v>0</v>
      </c>
      <c r="L46" s="38">
        <f t="shared" si="11"/>
        <v>0</v>
      </c>
      <c r="M46" s="23">
        <v>5</v>
      </c>
      <c r="N46" s="23">
        <v>0</v>
      </c>
      <c r="O46" s="23">
        <v>0</v>
      </c>
      <c r="P46" s="23">
        <v>1</v>
      </c>
      <c r="Q46" s="23">
        <v>0</v>
      </c>
      <c r="R46" s="25">
        <v>2</v>
      </c>
    </row>
    <row r="47" spans="1:18" x14ac:dyDescent="0.25">
      <c r="A47" s="43">
        <v>42180</v>
      </c>
      <c r="B47" s="43"/>
      <c r="C47" s="22" t="s">
        <v>71</v>
      </c>
      <c r="D47" s="23">
        <v>5</v>
      </c>
      <c r="E47" s="23">
        <v>15</v>
      </c>
      <c r="F47" s="38">
        <f t="shared" si="9"/>
        <v>0.33333333333333331</v>
      </c>
      <c r="G47" s="23">
        <v>0</v>
      </c>
      <c r="H47" s="23">
        <v>0</v>
      </c>
      <c r="I47" s="38">
        <f t="shared" si="10"/>
        <v>0</v>
      </c>
      <c r="J47" s="23">
        <v>2</v>
      </c>
      <c r="K47" s="23">
        <v>3</v>
      </c>
      <c r="L47" s="38">
        <f t="shared" si="11"/>
        <v>0.66666666666666663</v>
      </c>
      <c r="M47" s="23">
        <v>4</v>
      </c>
      <c r="N47" s="23">
        <v>1</v>
      </c>
      <c r="O47" s="23">
        <v>2</v>
      </c>
      <c r="P47" s="23">
        <v>3</v>
      </c>
      <c r="Q47" s="23">
        <v>0</v>
      </c>
      <c r="R47" s="25">
        <v>12</v>
      </c>
    </row>
    <row r="48" spans="1:18" x14ac:dyDescent="0.25">
      <c r="A48" s="43">
        <v>42180</v>
      </c>
      <c r="B48" s="43"/>
      <c r="C48" s="22" t="s">
        <v>70</v>
      </c>
      <c r="D48" s="23">
        <v>9</v>
      </c>
      <c r="E48" s="23">
        <v>19</v>
      </c>
      <c r="F48" s="38">
        <f t="shared" si="9"/>
        <v>0.47368421052631576</v>
      </c>
      <c r="G48" s="23">
        <v>0</v>
      </c>
      <c r="H48" s="23">
        <v>1</v>
      </c>
      <c r="I48" s="38">
        <f t="shared" si="10"/>
        <v>0</v>
      </c>
      <c r="J48" s="23">
        <v>6</v>
      </c>
      <c r="K48" s="23">
        <v>6</v>
      </c>
      <c r="L48" s="38">
        <f t="shared" si="11"/>
        <v>1</v>
      </c>
      <c r="M48" s="23">
        <v>4</v>
      </c>
      <c r="N48" s="23">
        <v>3</v>
      </c>
      <c r="O48" s="23">
        <v>1</v>
      </c>
      <c r="P48" s="23">
        <v>2</v>
      </c>
      <c r="Q48" s="23">
        <v>1</v>
      </c>
      <c r="R48" s="25">
        <v>24</v>
      </c>
    </row>
    <row r="49" spans="1:18" x14ac:dyDescent="0.25">
      <c r="A49" s="43">
        <v>42180</v>
      </c>
      <c r="B49" s="43"/>
      <c r="C49" s="22" t="s">
        <v>108</v>
      </c>
      <c r="D49" s="23">
        <v>2</v>
      </c>
      <c r="E49" s="23">
        <v>3</v>
      </c>
      <c r="F49" s="38">
        <f t="shared" si="9"/>
        <v>0.66666666666666663</v>
      </c>
      <c r="G49" s="23">
        <v>0</v>
      </c>
      <c r="H49" s="23">
        <v>0</v>
      </c>
      <c r="I49" s="38">
        <f t="shared" si="10"/>
        <v>0</v>
      </c>
      <c r="J49" s="23">
        <v>2</v>
      </c>
      <c r="K49" s="23">
        <v>3</v>
      </c>
      <c r="L49" s="38">
        <f t="shared" si="11"/>
        <v>0.66666666666666663</v>
      </c>
      <c r="M49" s="23">
        <v>0</v>
      </c>
      <c r="N49" s="23">
        <v>1</v>
      </c>
      <c r="O49" s="23">
        <v>1</v>
      </c>
      <c r="P49" s="23">
        <v>2</v>
      </c>
      <c r="Q49" s="23">
        <v>1</v>
      </c>
      <c r="R49" s="25">
        <v>6</v>
      </c>
    </row>
    <row r="50" spans="1:18" x14ac:dyDescent="0.25">
      <c r="A50" s="43">
        <v>42181</v>
      </c>
      <c r="B50" s="43"/>
      <c r="C50" s="22" t="s">
        <v>69</v>
      </c>
      <c r="D50" s="23">
        <v>4</v>
      </c>
      <c r="E50" s="23">
        <v>11</v>
      </c>
      <c r="F50" s="38">
        <f t="shared" si="9"/>
        <v>0.36363636363636365</v>
      </c>
      <c r="G50" s="23">
        <v>0</v>
      </c>
      <c r="H50" s="23">
        <v>0</v>
      </c>
      <c r="I50" s="38">
        <f t="shared" si="10"/>
        <v>0</v>
      </c>
      <c r="J50" s="23">
        <v>0</v>
      </c>
      <c r="K50" s="23">
        <v>0</v>
      </c>
      <c r="L50" s="38">
        <f t="shared" si="11"/>
        <v>0</v>
      </c>
      <c r="M50" s="23">
        <v>7</v>
      </c>
      <c r="N50" s="23">
        <v>0</v>
      </c>
      <c r="O50" s="23">
        <v>1</v>
      </c>
      <c r="P50" s="23">
        <v>1</v>
      </c>
      <c r="Q50" s="23">
        <v>0</v>
      </c>
      <c r="R50" s="25">
        <v>8</v>
      </c>
    </row>
    <row r="51" spans="1:18" x14ac:dyDescent="0.25">
      <c r="A51" s="43">
        <v>42181</v>
      </c>
      <c r="B51" s="43"/>
      <c r="C51" s="22" t="s">
        <v>73</v>
      </c>
      <c r="D51" s="23">
        <v>7</v>
      </c>
      <c r="E51" s="23">
        <v>14</v>
      </c>
      <c r="F51" s="38">
        <f t="shared" si="9"/>
        <v>0.5</v>
      </c>
      <c r="G51" s="23">
        <v>2</v>
      </c>
      <c r="H51" s="23">
        <v>3</v>
      </c>
      <c r="I51" s="38">
        <f t="shared" si="10"/>
        <v>0.66666666666666663</v>
      </c>
      <c r="J51" s="23">
        <v>1</v>
      </c>
      <c r="K51" s="23">
        <v>2</v>
      </c>
      <c r="L51" s="38">
        <f t="shared" si="11"/>
        <v>0.5</v>
      </c>
      <c r="M51" s="23">
        <v>2</v>
      </c>
      <c r="N51" s="23">
        <v>1</v>
      </c>
      <c r="O51" s="23">
        <v>1</v>
      </c>
      <c r="P51" s="23">
        <v>1</v>
      </c>
      <c r="Q51" s="23">
        <v>0</v>
      </c>
      <c r="R51" s="25">
        <v>17</v>
      </c>
    </row>
    <row r="52" spans="1:18" x14ac:dyDescent="0.25">
      <c r="A52" s="21">
        <v>42181</v>
      </c>
      <c r="B52" s="20"/>
      <c r="C52" s="15" t="s">
        <v>54</v>
      </c>
      <c r="D52" s="16">
        <v>1</v>
      </c>
      <c r="E52" s="16">
        <v>4</v>
      </c>
      <c r="F52" s="19">
        <f t="shared" si="9"/>
        <v>0.25</v>
      </c>
      <c r="G52" s="16">
        <v>1</v>
      </c>
      <c r="H52" s="16">
        <v>3</v>
      </c>
      <c r="I52" s="19">
        <f t="shared" si="10"/>
        <v>0.33333333333333331</v>
      </c>
      <c r="J52" s="16">
        <v>0</v>
      </c>
      <c r="K52" s="16">
        <v>0</v>
      </c>
      <c r="L52" s="19">
        <f t="shared" si="11"/>
        <v>0</v>
      </c>
      <c r="M52" s="16">
        <v>0</v>
      </c>
      <c r="N52" s="16">
        <v>2</v>
      </c>
      <c r="O52" s="16">
        <v>1</v>
      </c>
      <c r="P52" s="16">
        <v>1</v>
      </c>
      <c r="Q52" s="16">
        <v>0</v>
      </c>
      <c r="R52" s="16">
        <v>3</v>
      </c>
    </row>
    <row r="53" spans="1:18" x14ac:dyDescent="0.25">
      <c r="A53" s="21">
        <v>42181</v>
      </c>
      <c r="B53" s="20"/>
      <c r="C53" s="15" t="s">
        <v>30</v>
      </c>
      <c r="D53" s="16">
        <v>6</v>
      </c>
      <c r="E53" s="16">
        <v>11</v>
      </c>
      <c r="F53" s="19">
        <f t="shared" si="9"/>
        <v>0.54545454545454541</v>
      </c>
      <c r="G53" s="16">
        <v>0</v>
      </c>
      <c r="H53" s="16">
        <v>1</v>
      </c>
      <c r="I53" s="19">
        <f t="shared" si="10"/>
        <v>0</v>
      </c>
      <c r="J53" s="16">
        <v>3</v>
      </c>
      <c r="K53" s="16">
        <v>4</v>
      </c>
      <c r="L53" s="19">
        <f t="shared" si="11"/>
        <v>0.75</v>
      </c>
      <c r="M53" s="16">
        <v>7</v>
      </c>
      <c r="N53" s="16">
        <v>1</v>
      </c>
      <c r="O53" s="16">
        <v>1</v>
      </c>
      <c r="P53" s="16">
        <v>3</v>
      </c>
      <c r="Q53" s="16">
        <v>1</v>
      </c>
      <c r="R53" s="16">
        <v>15</v>
      </c>
    </row>
    <row r="54" spans="1:18" x14ac:dyDescent="0.25">
      <c r="A54" s="21">
        <v>42181</v>
      </c>
      <c r="B54" s="20"/>
      <c r="C54" s="15" t="s">
        <v>112</v>
      </c>
      <c r="D54" s="16">
        <v>1</v>
      </c>
      <c r="E54" s="16">
        <v>4</v>
      </c>
      <c r="F54" s="19">
        <f t="shared" si="9"/>
        <v>0.25</v>
      </c>
      <c r="G54" s="16">
        <v>0</v>
      </c>
      <c r="H54" s="16">
        <v>0</v>
      </c>
      <c r="I54" s="19">
        <f t="shared" si="10"/>
        <v>0</v>
      </c>
      <c r="J54" s="16">
        <v>0</v>
      </c>
      <c r="K54" s="16">
        <v>0</v>
      </c>
      <c r="L54" s="19">
        <f t="shared" si="11"/>
        <v>0</v>
      </c>
      <c r="M54" s="16">
        <v>2</v>
      </c>
      <c r="N54" s="16">
        <v>1</v>
      </c>
      <c r="O54" s="16">
        <v>2</v>
      </c>
      <c r="P54" s="16">
        <v>1</v>
      </c>
      <c r="Q54" s="16">
        <v>0</v>
      </c>
      <c r="R54" s="16">
        <v>2</v>
      </c>
    </row>
    <row r="55" spans="1:18" x14ac:dyDescent="0.25">
      <c r="A55" s="21">
        <v>42182</v>
      </c>
      <c r="B55" s="20"/>
      <c r="C55" s="15" t="s">
        <v>71</v>
      </c>
      <c r="D55" s="16">
        <v>3</v>
      </c>
      <c r="E55" s="16">
        <v>7</v>
      </c>
      <c r="F55" s="19">
        <f t="shared" ref="F55:F73" si="12">IF(E55=0,0,D55/E55)</f>
        <v>0.42857142857142855</v>
      </c>
      <c r="G55" s="16">
        <v>0</v>
      </c>
      <c r="H55" s="16">
        <v>0</v>
      </c>
      <c r="I55" s="19">
        <f t="shared" ref="I55:I73" si="13">IF(H55=0,0,G55/H55)</f>
        <v>0</v>
      </c>
      <c r="J55" s="16">
        <v>2</v>
      </c>
      <c r="K55" s="16">
        <v>2</v>
      </c>
      <c r="L55" s="19">
        <f t="shared" ref="L55:L73" si="14">IF(K55=0,0,J55/K55)</f>
        <v>1</v>
      </c>
      <c r="M55" s="16">
        <v>4</v>
      </c>
      <c r="N55" s="16">
        <v>0</v>
      </c>
      <c r="O55" s="16">
        <v>2</v>
      </c>
      <c r="P55" s="16">
        <v>5</v>
      </c>
      <c r="Q55" s="16">
        <v>1</v>
      </c>
      <c r="R55" s="16">
        <v>8</v>
      </c>
    </row>
    <row r="56" spans="1:18" x14ac:dyDescent="0.25">
      <c r="A56" s="21">
        <v>42182</v>
      </c>
      <c r="B56" s="20"/>
      <c r="C56" s="15" t="s">
        <v>108</v>
      </c>
      <c r="D56" s="16">
        <v>0</v>
      </c>
      <c r="E56" s="16">
        <v>2</v>
      </c>
      <c r="F56" s="19">
        <f t="shared" si="12"/>
        <v>0</v>
      </c>
      <c r="G56" s="16">
        <v>0</v>
      </c>
      <c r="H56" s="16">
        <v>0</v>
      </c>
      <c r="I56" s="19">
        <f t="shared" si="13"/>
        <v>0</v>
      </c>
      <c r="J56" s="16">
        <v>0</v>
      </c>
      <c r="K56" s="16">
        <v>0</v>
      </c>
      <c r="L56" s="19">
        <f t="shared" si="14"/>
        <v>0</v>
      </c>
      <c r="M56" s="16">
        <v>1</v>
      </c>
      <c r="N56" s="16">
        <v>0</v>
      </c>
      <c r="O56" s="16">
        <v>1</v>
      </c>
      <c r="P56" s="16">
        <v>0</v>
      </c>
      <c r="Q56" s="16">
        <v>1</v>
      </c>
      <c r="R56" s="16">
        <v>0</v>
      </c>
    </row>
    <row r="57" spans="1:18" x14ac:dyDescent="0.25">
      <c r="A57" s="21">
        <v>42182</v>
      </c>
      <c r="B57" s="20"/>
      <c r="C57" s="15" t="s">
        <v>70</v>
      </c>
      <c r="D57" s="16">
        <v>3</v>
      </c>
      <c r="E57" s="16">
        <v>13</v>
      </c>
      <c r="F57" s="19">
        <f t="shared" si="12"/>
        <v>0.23076923076923078</v>
      </c>
      <c r="G57" s="16">
        <v>0</v>
      </c>
      <c r="H57" s="16">
        <v>0</v>
      </c>
      <c r="I57" s="19">
        <f t="shared" si="13"/>
        <v>0</v>
      </c>
      <c r="J57" s="16">
        <v>0</v>
      </c>
      <c r="K57" s="16">
        <v>0</v>
      </c>
      <c r="L57" s="19">
        <f t="shared" si="14"/>
        <v>0</v>
      </c>
      <c r="M57" s="16">
        <v>2</v>
      </c>
      <c r="N57" s="16">
        <v>2</v>
      </c>
      <c r="O57" s="16">
        <v>0</v>
      </c>
      <c r="P57" s="16">
        <v>1</v>
      </c>
      <c r="Q57" s="16">
        <v>0</v>
      </c>
      <c r="R57" s="16">
        <v>6</v>
      </c>
    </row>
    <row r="58" spans="1:18" x14ac:dyDescent="0.25">
      <c r="A58" s="21">
        <v>42183</v>
      </c>
      <c r="B58" s="20"/>
      <c r="C58" s="15" t="s">
        <v>112</v>
      </c>
      <c r="D58" s="16">
        <v>3</v>
      </c>
      <c r="E58" s="16">
        <v>4</v>
      </c>
      <c r="F58" s="19">
        <f t="shared" si="12"/>
        <v>0.75</v>
      </c>
      <c r="G58" s="16">
        <v>0</v>
      </c>
      <c r="H58" s="16">
        <v>0</v>
      </c>
      <c r="I58" s="19">
        <f t="shared" si="13"/>
        <v>0</v>
      </c>
      <c r="J58" s="16">
        <v>0</v>
      </c>
      <c r="K58" s="16">
        <v>0</v>
      </c>
      <c r="L58" s="19">
        <f t="shared" si="14"/>
        <v>0</v>
      </c>
      <c r="M58" s="16">
        <v>4</v>
      </c>
      <c r="N58" s="16">
        <v>0</v>
      </c>
      <c r="O58" s="16">
        <v>1</v>
      </c>
      <c r="P58" s="16">
        <v>0</v>
      </c>
      <c r="Q58" s="16">
        <v>0</v>
      </c>
      <c r="R58" s="16">
        <v>6</v>
      </c>
    </row>
    <row r="59" spans="1:18" x14ac:dyDescent="0.25">
      <c r="A59" s="21">
        <v>42183</v>
      </c>
      <c r="B59" s="20"/>
      <c r="C59" s="15" t="s">
        <v>73</v>
      </c>
      <c r="D59" s="16">
        <v>5</v>
      </c>
      <c r="E59" s="16">
        <v>11</v>
      </c>
      <c r="F59" s="19">
        <f t="shared" si="12"/>
        <v>0.45454545454545453</v>
      </c>
      <c r="G59" s="16">
        <v>0</v>
      </c>
      <c r="H59" s="16">
        <v>3</v>
      </c>
      <c r="I59" s="19">
        <f t="shared" si="13"/>
        <v>0</v>
      </c>
      <c r="J59" s="16">
        <v>0</v>
      </c>
      <c r="K59" s="16">
        <v>0</v>
      </c>
      <c r="L59" s="19">
        <f t="shared" si="14"/>
        <v>0</v>
      </c>
      <c r="M59" s="16">
        <v>1</v>
      </c>
      <c r="N59" s="16">
        <v>3</v>
      </c>
      <c r="O59" s="16">
        <v>1</v>
      </c>
      <c r="P59" s="16">
        <v>2</v>
      </c>
      <c r="Q59" s="16">
        <v>0</v>
      </c>
      <c r="R59" s="16">
        <v>10</v>
      </c>
    </row>
    <row r="60" spans="1:18" x14ac:dyDescent="0.25">
      <c r="A60" s="21">
        <v>42183</v>
      </c>
      <c r="B60" s="20"/>
      <c r="C60" s="15" t="s">
        <v>54</v>
      </c>
      <c r="D60" s="16">
        <v>6</v>
      </c>
      <c r="E60" s="16">
        <v>8</v>
      </c>
      <c r="F60" s="19">
        <f t="shared" si="12"/>
        <v>0.75</v>
      </c>
      <c r="G60" s="16">
        <v>4</v>
      </c>
      <c r="H60" s="16">
        <v>5</v>
      </c>
      <c r="I60" s="19">
        <f t="shared" si="13"/>
        <v>0.8</v>
      </c>
      <c r="J60" s="16">
        <v>0</v>
      </c>
      <c r="K60" s="16">
        <v>0</v>
      </c>
      <c r="L60" s="19">
        <f t="shared" si="14"/>
        <v>0</v>
      </c>
      <c r="M60" s="16">
        <v>4</v>
      </c>
      <c r="N60" s="16">
        <v>0</v>
      </c>
      <c r="O60" s="16">
        <v>1</v>
      </c>
      <c r="P60" s="16">
        <v>0</v>
      </c>
      <c r="Q60" s="16">
        <v>0</v>
      </c>
      <c r="R60" s="16">
        <v>16</v>
      </c>
    </row>
    <row r="61" spans="1:18" x14ac:dyDescent="0.25">
      <c r="A61" s="21">
        <v>42185</v>
      </c>
      <c r="B61" s="20"/>
      <c r="C61" s="15" t="s">
        <v>30</v>
      </c>
      <c r="D61" s="16">
        <v>2</v>
      </c>
      <c r="E61" s="16">
        <v>5</v>
      </c>
      <c r="F61" s="46">
        <f t="shared" si="12"/>
        <v>0.4</v>
      </c>
      <c r="G61" s="16">
        <v>1</v>
      </c>
      <c r="H61" s="16">
        <v>2</v>
      </c>
      <c r="I61" s="46">
        <f t="shared" si="13"/>
        <v>0.5</v>
      </c>
      <c r="J61" s="16">
        <v>8</v>
      </c>
      <c r="K61" s="16">
        <v>10</v>
      </c>
      <c r="L61" s="46">
        <f t="shared" si="14"/>
        <v>0.8</v>
      </c>
      <c r="M61" s="16">
        <v>1</v>
      </c>
      <c r="N61" s="16">
        <v>3</v>
      </c>
      <c r="O61" s="16">
        <v>4</v>
      </c>
      <c r="P61" s="16">
        <v>0</v>
      </c>
      <c r="Q61" s="16">
        <v>0</v>
      </c>
      <c r="R61" s="16">
        <v>13</v>
      </c>
    </row>
    <row r="62" spans="1:18" x14ac:dyDescent="0.25">
      <c r="A62" s="21">
        <v>42185</v>
      </c>
      <c r="B62" s="20"/>
      <c r="C62" s="15" t="s">
        <v>73</v>
      </c>
      <c r="D62" s="16">
        <v>4</v>
      </c>
      <c r="E62" s="16">
        <v>10</v>
      </c>
      <c r="F62" s="46">
        <f t="shared" si="12"/>
        <v>0.4</v>
      </c>
      <c r="G62" s="16">
        <v>2</v>
      </c>
      <c r="H62" s="16">
        <v>5</v>
      </c>
      <c r="I62" s="46">
        <f t="shared" si="13"/>
        <v>0.4</v>
      </c>
      <c r="J62" s="16">
        <v>0</v>
      </c>
      <c r="K62" s="16">
        <v>0</v>
      </c>
      <c r="L62" s="46">
        <f t="shared" si="14"/>
        <v>0</v>
      </c>
      <c r="M62" s="16">
        <v>0</v>
      </c>
      <c r="N62" s="16">
        <v>1</v>
      </c>
      <c r="O62" s="16">
        <v>0</v>
      </c>
      <c r="P62" s="16">
        <v>3</v>
      </c>
      <c r="Q62" s="16">
        <v>0</v>
      </c>
      <c r="R62" s="16">
        <v>10</v>
      </c>
    </row>
    <row r="63" spans="1:18" x14ac:dyDescent="0.25">
      <c r="A63" s="43">
        <v>42185</v>
      </c>
      <c r="B63" s="43"/>
      <c r="C63" s="22" t="s">
        <v>112</v>
      </c>
      <c r="D63" s="23">
        <v>2</v>
      </c>
      <c r="E63" s="23">
        <v>4</v>
      </c>
      <c r="F63" s="38">
        <f t="shared" si="12"/>
        <v>0.5</v>
      </c>
      <c r="G63" s="23">
        <v>0</v>
      </c>
      <c r="H63" s="23">
        <v>0</v>
      </c>
      <c r="I63" s="38">
        <f t="shared" si="13"/>
        <v>0</v>
      </c>
      <c r="J63" s="23">
        <v>0</v>
      </c>
      <c r="K63" s="23">
        <v>2</v>
      </c>
      <c r="L63" s="38">
        <f t="shared" si="14"/>
        <v>0</v>
      </c>
      <c r="M63" s="23">
        <v>3</v>
      </c>
      <c r="N63" s="23">
        <v>1</v>
      </c>
      <c r="O63" s="23">
        <v>1</v>
      </c>
      <c r="P63" s="23">
        <v>0</v>
      </c>
      <c r="Q63" s="23">
        <v>0</v>
      </c>
      <c r="R63" s="25">
        <v>4</v>
      </c>
    </row>
    <row r="64" spans="1:18" x14ac:dyDescent="0.25">
      <c r="A64" s="43">
        <v>42185</v>
      </c>
      <c r="B64" s="43"/>
      <c r="C64" s="22" t="s">
        <v>71</v>
      </c>
      <c r="D64" s="23">
        <v>8</v>
      </c>
      <c r="E64" s="23">
        <v>10</v>
      </c>
      <c r="F64" s="38">
        <f t="shared" si="12"/>
        <v>0.8</v>
      </c>
      <c r="G64" s="23">
        <v>0</v>
      </c>
      <c r="H64" s="23">
        <v>0</v>
      </c>
      <c r="I64" s="38">
        <f t="shared" si="13"/>
        <v>0</v>
      </c>
      <c r="J64" s="23">
        <v>3</v>
      </c>
      <c r="K64" s="23">
        <v>3</v>
      </c>
      <c r="L64" s="38">
        <f t="shared" si="14"/>
        <v>1</v>
      </c>
      <c r="M64" s="23">
        <v>1</v>
      </c>
      <c r="N64" s="23">
        <v>0</v>
      </c>
      <c r="O64" s="23">
        <v>1</v>
      </c>
      <c r="P64" s="23">
        <v>4</v>
      </c>
      <c r="Q64" s="23">
        <v>0</v>
      </c>
      <c r="R64" s="25">
        <v>19</v>
      </c>
    </row>
    <row r="65" spans="1:18" x14ac:dyDescent="0.25">
      <c r="A65" s="43">
        <v>42187</v>
      </c>
      <c r="B65" s="43"/>
      <c r="C65" s="22" t="s">
        <v>30</v>
      </c>
      <c r="D65" s="23">
        <v>6</v>
      </c>
      <c r="E65" s="23">
        <v>13</v>
      </c>
      <c r="F65" s="38">
        <f t="shared" si="12"/>
        <v>0.46153846153846156</v>
      </c>
      <c r="G65" s="23">
        <v>1</v>
      </c>
      <c r="H65" s="23">
        <v>2</v>
      </c>
      <c r="I65" s="38">
        <f t="shared" si="13"/>
        <v>0.5</v>
      </c>
      <c r="J65" s="23">
        <v>3</v>
      </c>
      <c r="K65" s="23">
        <v>4</v>
      </c>
      <c r="L65" s="38">
        <f t="shared" si="14"/>
        <v>0.75</v>
      </c>
      <c r="M65" s="23">
        <v>11</v>
      </c>
      <c r="N65" s="23">
        <v>2</v>
      </c>
      <c r="O65" s="23">
        <v>4</v>
      </c>
      <c r="P65" s="23">
        <v>1</v>
      </c>
      <c r="Q65" s="23">
        <v>1</v>
      </c>
      <c r="R65" s="25">
        <v>16</v>
      </c>
    </row>
    <row r="66" spans="1:18" x14ac:dyDescent="0.25">
      <c r="A66" s="26">
        <v>42187</v>
      </c>
      <c r="B66" s="26"/>
      <c r="C66" s="52" t="s">
        <v>128</v>
      </c>
      <c r="D66" s="53">
        <v>7</v>
      </c>
      <c r="E66" s="53">
        <v>14</v>
      </c>
      <c r="F66" s="24">
        <f t="shared" si="12"/>
        <v>0.5</v>
      </c>
      <c r="G66" s="53">
        <v>3</v>
      </c>
      <c r="H66" s="53">
        <v>7</v>
      </c>
      <c r="I66" s="24">
        <f t="shared" si="13"/>
        <v>0.42857142857142855</v>
      </c>
      <c r="J66" s="53">
        <v>2</v>
      </c>
      <c r="K66" s="53">
        <v>2</v>
      </c>
      <c r="L66" s="24">
        <f t="shared" si="14"/>
        <v>1</v>
      </c>
      <c r="M66" s="53">
        <v>4</v>
      </c>
      <c r="N66" s="53">
        <v>0</v>
      </c>
      <c r="O66" s="53">
        <v>0</v>
      </c>
      <c r="P66" s="53">
        <v>2</v>
      </c>
      <c r="Q66" s="53">
        <v>1</v>
      </c>
      <c r="R66" s="54">
        <v>19</v>
      </c>
    </row>
    <row r="67" spans="1:18" x14ac:dyDescent="0.25">
      <c r="A67" s="43">
        <v>42187</v>
      </c>
      <c r="B67" s="43"/>
      <c r="C67" s="22" t="s">
        <v>71</v>
      </c>
      <c r="D67" s="23">
        <v>8</v>
      </c>
      <c r="E67" s="23">
        <v>14</v>
      </c>
      <c r="F67" s="38">
        <f t="shared" si="12"/>
        <v>0.5714285714285714</v>
      </c>
      <c r="G67" s="23">
        <v>0</v>
      </c>
      <c r="H67" s="23">
        <v>0</v>
      </c>
      <c r="I67" s="38">
        <f t="shared" si="13"/>
        <v>0</v>
      </c>
      <c r="J67" s="23">
        <v>0</v>
      </c>
      <c r="K67" s="23">
        <v>0</v>
      </c>
      <c r="L67" s="38">
        <f t="shared" si="14"/>
        <v>0</v>
      </c>
      <c r="M67" s="23">
        <v>4</v>
      </c>
      <c r="N67" s="23">
        <v>2</v>
      </c>
      <c r="O67" s="23">
        <v>1</v>
      </c>
      <c r="P67" s="23">
        <v>0</v>
      </c>
      <c r="Q67" s="23">
        <v>0</v>
      </c>
      <c r="R67" s="25">
        <v>16</v>
      </c>
    </row>
    <row r="68" spans="1:18" x14ac:dyDescent="0.25">
      <c r="A68" s="43">
        <v>42187</v>
      </c>
      <c r="B68" s="43"/>
      <c r="C68" s="22" t="s">
        <v>54</v>
      </c>
      <c r="D68" s="23">
        <v>0</v>
      </c>
      <c r="E68" s="23">
        <v>5</v>
      </c>
      <c r="F68" s="38">
        <f t="shared" si="12"/>
        <v>0</v>
      </c>
      <c r="G68" s="23">
        <v>0</v>
      </c>
      <c r="H68" s="23">
        <v>5</v>
      </c>
      <c r="I68" s="38">
        <f t="shared" si="13"/>
        <v>0</v>
      </c>
      <c r="J68" s="23">
        <v>0</v>
      </c>
      <c r="K68" s="23">
        <v>0</v>
      </c>
      <c r="L68" s="38">
        <f t="shared" si="14"/>
        <v>0</v>
      </c>
      <c r="M68" s="23">
        <v>1</v>
      </c>
      <c r="N68" s="23">
        <v>0</v>
      </c>
      <c r="O68" s="23">
        <v>0</v>
      </c>
      <c r="P68" s="23">
        <v>0</v>
      </c>
      <c r="Q68" s="23">
        <v>0</v>
      </c>
      <c r="R68" s="25">
        <v>0</v>
      </c>
    </row>
    <row r="69" spans="1:18" x14ac:dyDescent="0.25">
      <c r="A69" s="26">
        <v>42187</v>
      </c>
      <c r="B69" s="26"/>
      <c r="C69" s="52" t="s">
        <v>127</v>
      </c>
      <c r="D69" s="53">
        <v>3</v>
      </c>
      <c r="E69" s="53">
        <v>5</v>
      </c>
      <c r="F69" s="24">
        <f t="shared" si="12"/>
        <v>0.6</v>
      </c>
      <c r="G69" s="53">
        <v>0</v>
      </c>
      <c r="H69" s="53">
        <v>0</v>
      </c>
      <c r="I69" s="24">
        <f t="shared" si="13"/>
        <v>0</v>
      </c>
      <c r="J69" s="53">
        <v>2</v>
      </c>
      <c r="K69" s="53">
        <v>2</v>
      </c>
      <c r="L69" s="24">
        <f t="shared" si="14"/>
        <v>1</v>
      </c>
      <c r="M69" s="53">
        <v>0</v>
      </c>
      <c r="N69" s="53">
        <v>0</v>
      </c>
      <c r="O69" s="53">
        <v>1</v>
      </c>
      <c r="P69" s="53">
        <v>0</v>
      </c>
      <c r="Q69" s="53">
        <v>0</v>
      </c>
      <c r="R69" s="54">
        <v>8</v>
      </c>
    </row>
    <row r="70" spans="1:18" x14ac:dyDescent="0.25">
      <c r="A70" s="43">
        <v>42188</v>
      </c>
      <c r="B70" s="43"/>
      <c r="C70" s="22" t="s">
        <v>70</v>
      </c>
      <c r="D70" s="23">
        <v>6</v>
      </c>
      <c r="E70" s="23">
        <v>11</v>
      </c>
      <c r="F70" s="38">
        <f t="shared" si="12"/>
        <v>0.54545454545454541</v>
      </c>
      <c r="G70" s="23">
        <v>0</v>
      </c>
      <c r="H70" s="23">
        <v>0</v>
      </c>
      <c r="I70" s="38">
        <f t="shared" si="13"/>
        <v>0</v>
      </c>
      <c r="J70" s="23">
        <v>3</v>
      </c>
      <c r="K70" s="23">
        <v>3</v>
      </c>
      <c r="L70" s="38">
        <f t="shared" si="14"/>
        <v>1</v>
      </c>
      <c r="M70" s="23">
        <v>3</v>
      </c>
      <c r="N70" s="23">
        <v>4</v>
      </c>
      <c r="O70" s="23">
        <v>0</v>
      </c>
      <c r="P70" s="23">
        <v>2</v>
      </c>
      <c r="Q70" s="23">
        <v>1</v>
      </c>
      <c r="R70" s="25">
        <v>15</v>
      </c>
    </row>
    <row r="71" spans="1:18" x14ac:dyDescent="0.25">
      <c r="A71" s="43">
        <v>42188</v>
      </c>
      <c r="B71" s="43"/>
      <c r="C71" s="22" t="s">
        <v>108</v>
      </c>
      <c r="D71" s="23">
        <v>1</v>
      </c>
      <c r="E71" s="23">
        <v>5</v>
      </c>
      <c r="F71" s="38">
        <f t="shared" si="12"/>
        <v>0.2</v>
      </c>
      <c r="G71" s="23">
        <v>0</v>
      </c>
      <c r="H71" s="23">
        <v>0</v>
      </c>
      <c r="I71" s="38">
        <f t="shared" si="13"/>
        <v>0</v>
      </c>
      <c r="J71" s="23">
        <v>0</v>
      </c>
      <c r="K71" s="23">
        <v>0</v>
      </c>
      <c r="L71" s="38">
        <f t="shared" si="14"/>
        <v>0</v>
      </c>
      <c r="M71" s="23">
        <v>2</v>
      </c>
      <c r="N71" s="23">
        <v>1</v>
      </c>
      <c r="O71" s="23">
        <v>0</v>
      </c>
      <c r="P71" s="23">
        <v>0</v>
      </c>
      <c r="Q71" s="23">
        <v>0</v>
      </c>
      <c r="R71" s="25">
        <v>2</v>
      </c>
    </row>
    <row r="72" spans="1:18" x14ac:dyDescent="0.25">
      <c r="A72" s="43">
        <v>42190</v>
      </c>
      <c r="B72" s="43"/>
      <c r="C72" s="22" t="s">
        <v>69</v>
      </c>
      <c r="D72" s="23">
        <v>3</v>
      </c>
      <c r="E72" s="23">
        <v>8</v>
      </c>
      <c r="F72" s="38">
        <f t="shared" si="12"/>
        <v>0.375</v>
      </c>
      <c r="G72" s="23">
        <v>0</v>
      </c>
      <c r="H72" s="23">
        <v>0</v>
      </c>
      <c r="I72" s="38">
        <f t="shared" si="13"/>
        <v>0</v>
      </c>
      <c r="J72" s="23">
        <v>3</v>
      </c>
      <c r="K72" s="23">
        <v>5</v>
      </c>
      <c r="L72" s="38">
        <f t="shared" si="14"/>
        <v>0.6</v>
      </c>
      <c r="M72" s="23">
        <v>7</v>
      </c>
      <c r="N72" s="23">
        <v>1</v>
      </c>
      <c r="O72" s="23">
        <v>0</v>
      </c>
      <c r="P72" s="23">
        <v>1</v>
      </c>
      <c r="Q72" s="23">
        <v>0</v>
      </c>
      <c r="R72" s="25">
        <v>9</v>
      </c>
    </row>
    <row r="73" spans="1:18" x14ac:dyDescent="0.25">
      <c r="A73" s="43">
        <v>42190</v>
      </c>
      <c r="B73" s="43"/>
      <c r="C73" s="22" t="s">
        <v>71</v>
      </c>
      <c r="D73" s="23">
        <v>8</v>
      </c>
      <c r="E73" s="23">
        <v>16</v>
      </c>
      <c r="F73" s="38">
        <f t="shared" si="12"/>
        <v>0.5</v>
      </c>
      <c r="G73" s="23">
        <v>0</v>
      </c>
      <c r="H73" s="23">
        <v>1</v>
      </c>
      <c r="I73" s="38">
        <f t="shared" si="13"/>
        <v>0</v>
      </c>
      <c r="J73" s="23">
        <v>5</v>
      </c>
      <c r="K73" s="23">
        <v>6</v>
      </c>
      <c r="L73" s="38">
        <f t="shared" si="14"/>
        <v>0.83333333333333337</v>
      </c>
      <c r="M73" s="23">
        <v>6</v>
      </c>
      <c r="N73" s="23">
        <v>6</v>
      </c>
      <c r="O73" s="23">
        <v>0</v>
      </c>
      <c r="P73" s="23">
        <v>0</v>
      </c>
      <c r="Q73" s="23">
        <v>1</v>
      </c>
      <c r="R73" s="25">
        <v>21</v>
      </c>
    </row>
    <row r="74" spans="1:18" x14ac:dyDescent="0.25">
      <c r="A74" s="43">
        <v>42192</v>
      </c>
      <c r="B74" s="43"/>
      <c r="C74" s="22" t="s">
        <v>69</v>
      </c>
      <c r="D74" s="23">
        <v>4</v>
      </c>
      <c r="E74" s="23">
        <v>8</v>
      </c>
      <c r="F74" s="38">
        <f t="shared" ref="F74:F81" si="15">IF(E74=0,0,D74/E74)</f>
        <v>0.5</v>
      </c>
      <c r="G74" s="23">
        <v>0</v>
      </c>
      <c r="H74" s="23">
        <v>0</v>
      </c>
      <c r="I74" s="38">
        <f t="shared" ref="I74:I81" si="16">IF(H74=0,0,G74/H74)</f>
        <v>0</v>
      </c>
      <c r="J74" s="23">
        <v>1</v>
      </c>
      <c r="K74" s="23">
        <v>4</v>
      </c>
      <c r="L74" s="38">
        <f t="shared" ref="L74:L81" si="17">IF(K74=0,0,J74/K74)</f>
        <v>0.25</v>
      </c>
      <c r="M74" s="23">
        <v>7</v>
      </c>
      <c r="N74" s="23">
        <v>3</v>
      </c>
      <c r="O74" s="23">
        <v>2</v>
      </c>
      <c r="P74" s="23">
        <v>1</v>
      </c>
      <c r="Q74" s="23">
        <v>0</v>
      </c>
      <c r="R74" s="25">
        <v>9</v>
      </c>
    </row>
    <row r="75" spans="1:18" x14ac:dyDescent="0.25">
      <c r="A75" s="43">
        <v>42193</v>
      </c>
      <c r="B75" s="43"/>
      <c r="C75" s="22" t="s">
        <v>30</v>
      </c>
      <c r="D75" s="23">
        <v>3</v>
      </c>
      <c r="E75" s="23">
        <v>10</v>
      </c>
      <c r="F75" s="38">
        <f t="shared" si="15"/>
        <v>0.3</v>
      </c>
      <c r="G75" s="23">
        <v>2</v>
      </c>
      <c r="H75" s="23">
        <v>5</v>
      </c>
      <c r="I75" s="38">
        <f t="shared" si="16"/>
        <v>0.4</v>
      </c>
      <c r="J75" s="23">
        <v>0</v>
      </c>
      <c r="K75" s="23">
        <v>0</v>
      </c>
      <c r="L75" s="38">
        <f t="shared" si="17"/>
        <v>0</v>
      </c>
      <c r="M75" s="23">
        <v>3</v>
      </c>
      <c r="N75" s="23">
        <v>2</v>
      </c>
      <c r="O75" s="23">
        <v>2</v>
      </c>
      <c r="P75" s="23">
        <v>1</v>
      </c>
      <c r="Q75" s="23">
        <v>0</v>
      </c>
      <c r="R75" s="25">
        <v>8</v>
      </c>
    </row>
    <row r="76" spans="1:18" x14ac:dyDescent="0.25">
      <c r="A76" s="43">
        <v>42194</v>
      </c>
      <c r="B76" s="43"/>
      <c r="C76" s="22" t="s">
        <v>54</v>
      </c>
      <c r="D76" s="23">
        <v>1</v>
      </c>
      <c r="E76" s="23">
        <v>2</v>
      </c>
      <c r="F76" s="38">
        <f t="shared" si="15"/>
        <v>0.5</v>
      </c>
      <c r="G76" s="23">
        <v>1</v>
      </c>
      <c r="H76" s="23">
        <v>2</v>
      </c>
      <c r="I76" s="38">
        <f t="shared" si="16"/>
        <v>0.5</v>
      </c>
      <c r="J76" s="23">
        <v>0</v>
      </c>
      <c r="K76" s="23">
        <v>0</v>
      </c>
      <c r="L76" s="38">
        <f t="shared" si="17"/>
        <v>0</v>
      </c>
      <c r="M76" s="23">
        <v>0</v>
      </c>
      <c r="N76" s="23">
        <v>0</v>
      </c>
      <c r="O76" s="23">
        <v>0</v>
      </c>
      <c r="P76" s="23">
        <v>1</v>
      </c>
      <c r="Q76" s="23">
        <v>0</v>
      </c>
      <c r="R76" s="25">
        <v>3</v>
      </c>
    </row>
    <row r="77" spans="1:18" x14ac:dyDescent="0.25">
      <c r="A77" s="43">
        <v>42195</v>
      </c>
      <c r="B77" s="43"/>
      <c r="C77" s="22" t="s">
        <v>70</v>
      </c>
      <c r="D77" s="23">
        <v>6</v>
      </c>
      <c r="E77" s="23">
        <v>14</v>
      </c>
      <c r="F77" s="38">
        <f t="shared" si="15"/>
        <v>0.42857142857142855</v>
      </c>
      <c r="G77" s="23">
        <v>1</v>
      </c>
      <c r="H77" s="23">
        <v>2</v>
      </c>
      <c r="I77" s="38">
        <f t="shared" si="16"/>
        <v>0.5</v>
      </c>
      <c r="J77" s="23">
        <v>0</v>
      </c>
      <c r="K77" s="23">
        <v>0</v>
      </c>
      <c r="L77" s="38">
        <f t="shared" si="17"/>
        <v>0</v>
      </c>
      <c r="M77" s="23">
        <v>2</v>
      </c>
      <c r="N77" s="23">
        <v>2</v>
      </c>
      <c r="O77" s="23">
        <v>1</v>
      </c>
      <c r="P77" s="23">
        <v>2</v>
      </c>
      <c r="Q77" s="23">
        <v>0</v>
      </c>
      <c r="R77" s="25">
        <v>13</v>
      </c>
    </row>
    <row r="78" spans="1:18" x14ac:dyDescent="0.25">
      <c r="A78" s="43">
        <v>42195</v>
      </c>
      <c r="B78" s="43"/>
      <c r="C78" s="22" t="s">
        <v>71</v>
      </c>
      <c r="D78" s="23">
        <v>7</v>
      </c>
      <c r="E78" s="23">
        <v>13</v>
      </c>
      <c r="F78" s="38">
        <f t="shared" si="15"/>
        <v>0.53846153846153844</v>
      </c>
      <c r="G78" s="23">
        <v>0</v>
      </c>
      <c r="H78" s="23">
        <v>0</v>
      </c>
      <c r="I78" s="38">
        <f t="shared" si="16"/>
        <v>0</v>
      </c>
      <c r="J78" s="23">
        <v>2</v>
      </c>
      <c r="K78" s="23">
        <v>2</v>
      </c>
      <c r="L78" s="38">
        <f t="shared" si="17"/>
        <v>1</v>
      </c>
      <c r="M78" s="23">
        <v>3</v>
      </c>
      <c r="N78" s="23">
        <v>5</v>
      </c>
      <c r="O78" s="23">
        <v>1</v>
      </c>
      <c r="P78" s="23">
        <v>1</v>
      </c>
      <c r="Q78" s="23">
        <v>0</v>
      </c>
      <c r="R78" s="25">
        <v>16</v>
      </c>
    </row>
    <row r="79" spans="1:18" x14ac:dyDescent="0.25">
      <c r="A79" s="43">
        <v>42195</v>
      </c>
      <c r="B79" s="43"/>
      <c r="C79" s="22" t="s">
        <v>30</v>
      </c>
      <c r="D79" s="23">
        <v>3</v>
      </c>
      <c r="E79" s="23">
        <v>6</v>
      </c>
      <c r="F79" s="38">
        <f t="shared" si="15"/>
        <v>0.5</v>
      </c>
      <c r="G79" s="23">
        <v>0</v>
      </c>
      <c r="H79" s="23">
        <v>0</v>
      </c>
      <c r="I79" s="38">
        <f t="shared" si="16"/>
        <v>0</v>
      </c>
      <c r="J79" s="23">
        <v>5</v>
      </c>
      <c r="K79" s="23">
        <v>6</v>
      </c>
      <c r="L79" s="38">
        <f t="shared" si="17"/>
        <v>0.83333333333333337</v>
      </c>
      <c r="M79" s="23">
        <v>3</v>
      </c>
      <c r="N79" s="23">
        <v>3</v>
      </c>
      <c r="O79" s="23">
        <v>2</v>
      </c>
      <c r="P79" s="23">
        <v>0</v>
      </c>
      <c r="Q79" s="23">
        <v>0</v>
      </c>
      <c r="R79" s="25">
        <v>11</v>
      </c>
    </row>
    <row r="80" spans="1:18" x14ac:dyDescent="0.25">
      <c r="A80" s="43">
        <v>42195</v>
      </c>
      <c r="B80" s="43"/>
      <c r="C80" s="22" t="s">
        <v>112</v>
      </c>
      <c r="D80" s="23">
        <v>1</v>
      </c>
      <c r="E80" s="23">
        <v>5</v>
      </c>
      <c r="F80" s="38">
        <f t="shared" si="15"/>
        <v>0.2</v>
      </c>
      <c r="G80" s="23">
        <v>0</v>
      </c>
      <c r="H80" s="23">
        <v>1</v>
      </c>
      <c r="I80" s="38">
        <f t="shared" si="16"/>
        <v>0</v>
      </c>
      <c r="J80" s="23">
        <v>2</v>
      </c>
      <c r="K80" s="23">
        <v>2</v>
      </c>
      <c r="L80" s="38">
        <f t="shared" si="17"/>
        <v>1</v>
      </c>
      <c r="M80" s="23">
        <v>0</v>
      </c>
      <c r="N80" s="23">
        <v>0</v>
      </c>
      <c r="O80" s="23">
        <v>0</v>
      </c>
      <c r="P80" s="23">
        <v>1</v>
      </c>
      <c r="Q80" s="23">
        <v>0</v>
      </c>
      <c r="R80" s="25">
        <v>4</v>
      </c>
    </row>
    <row r="81" spans="1:18" x14ac:dyDescent="0.25">
      <c r="A81" s="43">
        <v>42195</v>
      </c>
      <c r="B81" s="43"/>
      <c r="C81" s="22" t="s">
        <v>73</v>
      </c>
      <c r="D81" s="23">
        <v>1</v>
      </c>
      <c r="E81" s="23">
        <v>5</v>
      </c>
      <c r="F81" s="38">
        <f t="shared" si="15"/>
        <v>0.2</v>
      </c>
      <c r="G81" s="23">
        <v>0</v>
      </c>
      <c r="H81" s="23">
        <v>2</v>
      </c>
      <c r="I81" s="38">
        <f t="shared" si="16"/>
        <v>0</v>
      </c>
      <c r="J81" s="23">
        <v>0</v>
      </c>
      <c r="K81" s="23">
        <v>0</v>
      </c>
      <c r="L81" s="38">
        <f t="shared" si="17"/>
        <v>0</v>
      </c>
      <c r="M81" s="23">
        <v>0</v>
      </c>
      <c r="N81" s="23">
        <v>1</v>
      </c>
      <c r="O81" s="23">
        <v>0</v>
      </c>
      <c r="P81" s="23">
        <v>0</v>
      </c>
      <c r="Q81" s="23">
        <v>1</v>
      </c>
      <c r="R81" s="25">
        <v>2</v>
      </c>
    </row>
    <row r="82" spans="1:18" x14ac:dyDescent="0.25">
      <c r="A82" s="43">
        <v>42197</v>
      </c>
      <c r="B82" s="43"/>
      <c r="C82" s="22" t="s">
        <v>71</v>
      </c>
      <c r="D82" s="23">
        <v>1</v>
      </c>
      <c r="E82" s="23">
        <v>7</v>
      </c>
      <c r="F82" s="38">
        <f t="shared" ref="F82:F87" si="18">IF(E82=0,0,D82/E82)</f>
        <v>0.14285714285714285</v>
      </c>
      <c r="G82" s="23">
        <v>0</v>
      </c>
      <c r="H82" s="23">
        <v>0</v>
      </c>
      <c r="I82" s="38">
        <f t="shared" ref="I82:I87" si="19">IF(H82=0,0,G82/H82)</f>
        <v>0</v>
      </c>
      <c r="J82" s="23">
        <v>0</v>
      </c>
      <c r="K82" s="23">
        <v>0</v>
      </c>
      <c r="L82" s="38">
        <f t="shared" ref="L82:L87" si="20">IF(K82=0,0,J82/K82)</f>
        <v>0</v>
      </c>
      <c r="M82" s="23">
        <v>4</v>
      </c>
      <c r="N82" s="23">
        <v>1</v>
      </c>
      <c r="O82" s="23">
        <v>2</v>
      </c>
      <c r="P82" s="23">
        <v>1</v>
      </c>
      <c r="Q82" s="23">
        <v>0</v>
      </c>
      <c r="R82" s="25">
        <v>2</v>
      </c>
    </row>
    <row r="83" spans="1:18" x14ac:dyDescent="0.25">
      <c r="A83" s="43">
        <v>42197</v>
      </c>
      <c r="B83" s="43"/>
      <c r="C83" s="22" t="s">
        <v>70</v>
      </c>
      <c r="D83" s="23">
        <v>6</v>
      </c>
      <c r="E83" s="23">
        <v>10</v>
      </c>
      <c r="F83" s="38">
        <f t="shared" si="18"/>
        <v>0.6</v>
      </c>
      <c r="G83" s="23">
        <v>0</v>
      </c>
      <c r="H83" s="23">
        <v>0</v>
      </c>
      <c r="I83" s="38">
        <f t="shared" si="19"/>
        <v>0</v>
      </c>
      <c r="J83" s="23">
        <v>0</v>
      </c>
      <c r="K83" s="23">
        <v>0</v>
      </c>
      <c r="L83" s="38">
        <f t="shared" si="20"/>
        <v>0</v>
      </c>
      <c r="M83" s="23">
        <v>1</v>
      </c>
      <c r="N83" s="23">
        <v>0</v>
      </c>
      <c r="O83" s="23">
        <v>1</v>
      </c>
      <c r="P83" s="23">
        <v>0</v>
      </c>
      <c r="Q83" s="23">
        <v>0</v>
      </c>
      <c r="R83" s="25">
        <v>12</v>
      </c>
    </row>
    <row r="84" spans="1:18" x14ac:dyDescent="0.25">
      <c r="A84" s="43">
        <v>42197</v>
      </c>
      <c r="B84" s="43"/>
      <c r="C84" s="22" t="s">
        <v>112</v>
      </c>
      <c r="D84" s="23">
        <v>1</v>
      </c>
      <c r="E84" s="23">
        <v>5</v>
      </c>
      <c r="F84" s="38">
        <f t="shared" si="18"/>
        <v>0.2</v>
      </c>
      <c r="G84" s="23">
        <v>0</v>
      </c>
      <c r="H84" s="23">
        <v>1</v>
      </c>
      <c r="I84" s="38">
        <f t="shared" si="19"/>
        <v>0</v>
      </c>
      <c r="J84" s="23">
        <v>0</v>
      </c>
      <c r="K84" s="23">
        <v>0</v>
      </c>
      <c r="L84" s="38">
        <f t="shared" si="20"/>
        <v>0</v>
      </c>
      <c r="M84" s="23">
        <v>1</v>
      </c>
      <c r="N84" s="23">
        <v>1</v>
      </c>
      <c r="O84" s="23">
        <v>0</v>
      </c>
      <c r="P84" s="23">
        <v>2</v>
      </c>
      <c r="Q84" s="23">
        <v>0</v>
      </c>
      <c r="R84" s="25">
        <v>2</v>
      </c>
    </row>
    <row r="85" spans="1:18" x14ac:dyDescent="0.25">
      <c r="A85" s="43">
        <v>42197</v>
      </c>
      <c r="B85" s="43"/>
      <c r="C85" s="22" t="s">
        <v>73</v>
      </c>
      <c r="D85" s="23">
        <v>3</v>
      </c>
      <c r="E85" s="23">
        <v>6</v>
      </c>
      <c r="F85" s="38">
        <f t="shared" si="18"/>
        <v>0.5</v>
      </c>
      <c r="G85" s="23">
        <v>1</v>
      </c>
      <c r="H85" s="23">
        <v>2</v>
      </c>
      <c r="I85" s="38">
        <f t="shared" si="19"/>
        <v>0.5</v>
      </c>
      <c r="J85" s="23">
        <v>0</v>
      </c>
      <c r="K85" s="23">
        <v>0</v>
      </c>
      <c r="L85" s="38">
        <f t="shared" si="20"/>
        <v>0</v>
      </c>
      <c r="M85" s="23">
        <v>1</v>
      </c>
      <c r="N85" s="23">
        <v>2</v>
      </c>
      <c r="O85" s="23">
        <v>0</v>
      </c>
      <c r="P85" s="23">
        <v>1</v>
      </c>
      <c r="Q85" s="23">
        <v>1</v>
      </c>
      <c r="R85" s="25">
        <v>7</v>
      </c>
    </row>
    <row r="86" spans="1:18" x14ac:dyDescent="0.25">
      <c r="A86" s="43">
        <v>42197</v>
      </c>
      <c r="B86" s="43"/>
      <c r="C86" s="22" t="s">
        <v>108</v>
      </c>
      <c r="D86" s="23">
        <v>2</v>
      </c>
      <c r="E86" s="23">
        <v>8</v>
      </c>
      <c r="F86" s="38">
        <f t="shared" si="18"/>
        <v>0.25</v>
      </c>
      <c r="G86" s="23">
        <v>0</v>
      </c>
      <c r="H86" s="23">
        <v>0</v>
      </c>
      <c r="I86" s="38">
        <f t="shared" si="19"/>
        <v>0</v>
      </c>
      <c r="J86" s="23">
        <v>0</v>
      </c>
      <c r="K86" s="23">
        <v>0</v>
      </c>
      <c r="L86" s="38">
        <f t="shared" si="20"/>
        <v>0</v>
      </c>
      <c r="M86" s="23">
        <v>5</v>
      </c>
      <c r="N86" s="23">
        <v>0</v>
      </c>
      <c r="O86" s="23">
        <v>2</v>
      </c>
      <c r="P86" s="23">
        <v>0</v>
      </c>
      <c r="Q86" s="23">
        <v>0</v>
      </c>
      <c r="R86" s="25">
        <v>4</v>
      </c>
    </row>
    <row r="87" spans="1:18" x14ac:dyDescent="0.25">
      <c r="A87" s="43">
        <v>42197</v>
      </c>
      <c r="B87" s="43"/>
      <c r="C87" s="22" t="s">
        <v>69</v>
      </c>
      <c r="D87" s="23">
        <v>2</v>
      </c>
      <c r="E87" s="23">
        <v>7</v>
      </c>
      <c r="F87" s="38">
        <f t="shared" si="18"/>
        <v>0.2857142857142857</v>
      </c>
      <c r="G87" s="23">
        <v>0</v>
      </c>
      <c r="H87" s="23">
        <v>0</v>
      </c>
      <c r="I87" s="38">
        <f t="shared" si="19"/>
        <v>0</v>
      </c>
      <c r="J87" s="23">
        <v>1</v>
      </c>
      <c r="K87" s="23">
        <v>1</v>
      </c>
      <c r="L87" s="38">
        <f t="shared" si="20"/>
        <v>1</v>
      </c>
      <c r="M87" s="23">
        <v>8</v>
      </c>
      <c r="N87" s="23">
        <v>2</v>
      </c>
      <c r="O87" s="23">
        <v>0</v>
      </c>
      <c r="P87" s="23">
        <v>6</v>
      </c>
      <c r="Q87" s="23">
        <v>1</v>
      </c>
      <c r="R87" s="25">
        <v>5</v>
      </c>
    </row>
    <row r="88" spans="1:18" x14ac:dyDescent="0.25">
      <c r="A88" s="43">
        <v>42199</v>
      </c>
      <c r="B88" s="43"/>
      <c r="C88" s="22" t="s">
        <v>108</v>
      </c>
      <c r="D88" s="23">
        <v>1</v>
      </c>
      <c r="E88" s="23">
        <v>5</v>
      </c>
      <c r="F88" s="38">
        <f t="shared" ref="F88:F104" si="21">IF(E88=0,0,D88/E88)</f>
        <v>0.2</v>
      </c>
      <c r="G88" s="23">
        <v>0</v>
      </c>
      <c r="H88" s="23">
        <v>2</v>
      </c>
      <c r="I88" s="38">
        <f t="shared" ref="I88:I104" si="22">IF(H88=0,0,G88/H88)</f>
        <v>0</v>
      </c>
      <c r="J88" s="23">
        <v>0</v>
      </c>
      <c r="K88" s="23">
        <v>0</v>
      </c>
      <c r="L88" s="38">
        <f t="shared" ref="L88:L104" si="23">IF(K88=0,0,J88/K88)</f>
        <v>0</v>
      </c>
      <c r="M88" s="23">
        <v>4</v>
      </c>
      <c r="N88" s="23">
        <v>0</v>
      </c>
      <c r="O88" s="23">
        <v>1</v>
      </c>
      <c r="P88" s="23">
        <v>1</v>
      </c>
      <c r="Q88" s="23">
        <v>2</v>
      </c>
      <c r="R88" s="25">
        <v>2</v>
      </c>
    </row>
    <row r="89" spans="1:18" x14ac:dyDescent="0.25">
      <c r="A89" s="43">
        <v>42199</v>
      </c>
      <c r="B89" s="43"/>
      <c r="C89" s="22" t="s">
        <v>71</v>
      </c>
      <c r="D89" s="23">
        <v>9</v>
      </c>
      <c r="E89" s="23">
        <v>13</v>
      </c>
      <c r="F89" s="38">
        <f t="shared" si="21"/>
        <v>0.69230769230769229</v>
      </c>
      <c r="G89" s="23">
        <v>0</v>
      </c>
      <c r="H89" s="23">
        <v>0</v>
      </c>
      <c r="I89" s="38">
        <f t="shared" si="22"/>
        <v>0</v>
      </c>
      <c r="J89" s="23">
        <v>4</v>
      </c>
      <c r="K89" s="23">
        <v>6</v>
      </c>
      <c r="L89" s="38">
        <f t="shared" si="23"/>
        <v>0.66666666666666663</v>
      </c>
      <c r="M89" s="23">
        <v>7</v>
      </c>
      <c r="N89" s="23">
        <v>1</v>
      </c>
      <c r="O89" s="23">
        <v>1</v>
      </c>
      <c r="P89" s="23">
        <v>0</v>
      </c>
      <c r="Q89" s="23">
        <v>0</v>
      </c>
      <c r="R89" s="25">
        <v>22</v>
      </c>
    </row>
    <row r="90" spans="1:18" x14ac:dyDescent="0.25">
      <c r="A90" s="43">
        <v>42199</v>
      </c>
      <c r="B90" s="43"/>
      <c r="C90" s="22" t="s">
        <v>70</v>
      </c>
      <c r="D90" s="23">
        <v>7</v>
      </c>
      <c r="E90" s="23">
        <v>15</v>
      </c>
      <c r="F90" s="38">
        <f t="shared" si="21"/>
        <v>0.46666666666666667</v>
      </c>
      <c r="G90" s="23">
        <v>0</v>
      </c>
      <c r="H90" s="23">
        <v>1</v>
      </c>
      <c r="I90" s="38">
        <f t="shared" si="22"/>
        <v>0</v>
      </c>
      <c r="J90" s="23">
        <v>7</v>
      </c>
      <c r="K90" s="23">
        <v>7</v>
      </c>
      <c r="L90" s="38">
        <f t="shared" si="23"/>
        <v>1</v>
      </c>
      <c r="M90" s="23">
        <v>2</v>
      </c>
      <c r="N90" s="23">
        <v>5</v>
      </c>
      <c r="O90" s="23">
        <v>1</v>
      </c>
      <c r="P90" s="23">
        <v>2</v>
      </c>
      <c r="Q90" s="23">
        <v>0</v>
      </c>
      <c r="R90" s="25">
        <v>21</v>
      </c>
    </row>
    <row r="91" spans="1:18" x14ac:dyDescent="0.25">
      <c r="A91" s="43">
        <v>42199</v>
      </c>
      <c r="B91" s="43"/>
      <c r="C91" s="22" t="s">
        <v>69</v>
      </c>
      <c r="D91" s="23">
        <v>6</v>
      </c>
      <c r="E91" s="23">
        <v>10</v>
      </c>
      <c r="F91" s="38">
        <f t="shared" si="21"/>
        <v>0.6</v>
      </c>
      <c r="G91" s="23">
        <v>0</v>
      </c>
      <c r="H91" s="23">
        <v>0</v>
      </c>
      <c r="I91" s="38">
        <f t="shared" si="22"/>
        <v>0</v>
      </c>
      <c r="J91" s="23">
        <v>0</v>
      </c>
      <c r="K91" s="23">
        <v>1</v>
      </c>
      <c r="L91" s="38">
        <f t="shared" si="23"/>
        <v>0</v>
      </c>
      <c r="M91" s="23">
        <v>5</v>
      </c>
      <c r="N91" s="23">
        <v>0</v>
      </c>
      <c r="O91" s="23">
        <v>1</v>
      </c>
      <c r="P91" s="23">
        <v>0</v>
      </c>
      <c r="Q91" s="23">
        <v>0</v>
      </c>
      <c r="R91" s="25">
        <v>12</v>
      </c>
    </row>
    <row r="92" spans="1:18" x14ac:dyDescent="0.25">
      <c r="A92" s="43">
        <v>42200</v>
      </c>
      <c r="B92" s="43"/>
      <c r="C92" s="22" t="s">
        <v>73</v>
      </c>
      <c r="D92" s="23">
        <v>7</v>
      </c>
      <c r="E92" s="23">
        <v>13</v>
      </c>
      <c r="F92" s="38">
        <f t="shared" si="21"/>
        <v>0.53846153846153844</v>
      </c>
      <c r="G92" s="23">
        <v>1</v>
      </c>
      <c r="H92" s="23">
        <v>3</v>
      </c>
      <c r="I92" s="38">
        <f t="shared" si="22"/>
        <v>0.33333333333333331</v>
      </c>
      <c r="J92" s="23">
        <v>0</v>
      </c>
      <c r="K92" s="23">
        <v>0</v>
      </c>
      <c r="L92" s="38">
        <f t="shared" si="23"/>
        <v>0</v>
      </c>
      <c r="M92" s="23">
        <v>3</v>
      </c>
      <c r="N92" s="23">
        <v>3</v>
      </c>
      <c r="O92" s="23">
        <v>1</v>
      </c>
      <c r="P92" s="23">
        <v>1</v>
      </c>
      <c r="Q92" s="23">
        <v>1</v>
      </c>
      <c r="R92" s="25">
        <v>15</v>
      </c>
    </row>
    <row r="93" spans="1:18" x14ac:dyDescent="0.25">
      <c r="A93" s="43">
        <v>42200</v>
      </c>
      <c r="B93" s="43"/>
      <c r="C93" s="22" t="s">
        <v>112</v>
      </c>
      <c r="D93" s="23">
        <v>1</v>
      </c>
      <c r="E93" s="23">
        <v>7</v>
      </c>
      <c r="F93" s="38">
        <f t="shared" si="21"/>
        <v>0.14285714285714285</v>
      </c>
      <c r="G93" s="23">
        <v>0</v>
      </c>
      <c r="H93" s="23">
        <v>1</v>
      </c>
      <c r="I93" s="38">
        <f t="shared" si="22"/>
        <v>0</v>
      </c>
      <c r="J93" s="23">
        <v>0</v>
      </c>
      <c r="K93" s="23">
        <v>0</v>
      </c>
      <c r="L93" s="38">
        <f t="shared" si="23"/>
        <v>0</v>
      </c>
      <c r="M93" s="23">
        <v>6</v>
      </c>
      <c r="N93" s="23">
        <v>0</v>
      </c>
      <c r="O93" s="23">
        <v>0</v>
      </c>
      <c r="P93" s="23">
        <v>3</v>
      </c>
      <c r="Q93" s="23">
        <v>1</v>
      </c>
      <c r="R93" s="25">
        <v>2</v>
      </c>
    </row>
    <row r="94" spans="1:18" x14ac:dyDescent="0.25">
      <c r="A94" s="43">
        <v>42200</v>
      </c>
      <c r="B94" s="43"/>
      <c r="C94" s="22" t="s">
        <v>54</v>
      </c>
      <c r="D94" s="23">
        <v>0</v>
      </c>
      <c r="E94" s="23">
        <v>6</v>
      </c>
      <c r="F94" s="38">
        <f t="shared" si="21"/>
        <v>0</v>
      </c>
      <c r="G94" s="23">
        <v>0</v>
      </c>
      <c r="H94" s="23">
        <v>2</v>
      </c>
      <c r="I94" s="38">
        <f t="shared" si="22"/>
        <v>0</v>
      </c>
      <c r="J94" s="23">
        <v>0</v>
      </c>
      <c r="K94" s="23">
        <v>0</v>
      </c>
      <c r="L94" s="38">
        <f t="shared" si="23"/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5">
        <v>0</v>
      </c>
    </row>
    <row r="95" spans="1:18" x14ac:dyDescent="0.25">
      <c r="A95" s="61">
        <v>42201</v>
      </c>
      <c r="B95" s="60"/>
      <c r="C95" s="59" t="s">
        <v>69</v>
      </c>
      <c r="D95" s="57">
        <v>3</v>
      </c>
      <c r="E95" s="57">
        <v>7</v>
      </c>
      <c r="F95" s="58">
        <f t="shared" si="21"/>
        <v>0.42857142857142855</v>
      </c>
      <c r="G95" s="57">
        <v>0</v>
      </c>
      <c r="H95" s="57">
        <v>0</v>
      </c>
      <c r="I95" s="58">
        <f t="shared" si="22"/>
        <v>0</v>
      </c>
      <c r="J95" s="57">
        <v>0</v>
      </c>
      <c r="K95" s="57">
        <v>0</v>
      </c>
      <c r="L95" s="58">
        <f t="shared" si="23"/>
        <v>0</v>
      </c>
      <c r="M95" s="57">
        <v>8</v>
      </c>
      <c r="N95" s="57">
        <v>0</v>
      </c>
      <c r="O95" s="57">
        <v>2</v>
      </c>
      <c r="P95" s="57">
        <v>2</v>
      </c>
      <c r="Q95" s="57">
        <v>2</v>
      </c>
      <c r="R95" s="57">
        <v>6</v>
      </c>
    </row>
    <row r="96" spans="1:18" x14ac:dyDescent="0.25">
      <c r="A96" s="21">
        <v>42202</v>
      </c>
      <c r="B96" s="20"/>
      <c r="C96" s="15" t="s">
        <v>107</v>
      </c>
      <c r="D96" s="16">
        <v>1</v>
      </c>
      <c r="E96" s="16">
        <v>9</v>
      </c>
      <c r="F96" s="56">
        <f t="shared" si="21"/>
        <v>0.1111111111111111</v>
      </c>
      <c r="G96" s="16">
        <v>0</v>
      </c>
      <c r="H96" s="16">
        <v>2</v>
      </c>
      <c r="I96" s="56">
        <f t="shared" si="22"/>
        <v>0</v>
      </c>
      <c r="J96" s="16">
        <v>0</v>
      </c>
      <c r="K96" s="16">
        <v>0</v>
      </c>
      <c r="L96" s="56">
        <f t="shared" si="23"/>
        <v>0</v>
      </c>
      <c r="M96" s="16">
        <v>4</v>
      </c>
      <c r="N96" s="16">
        <v>1</v>
      </c>
      <c r="O96" s="16">
        <v>0</v>
      </c>
      <c r="P96" s="16">
        <v>3</v>
      </c>
      <c r="Q96" s="16">
        <v>2</v>
      </c>
      <c r="R96" s="16">
        <v>2</v>
      </c>
    </row>
    <row r="97" spans="1:18" x14ac:dyDescent="0.25">
      <c r="A97" s="21">
        <v>42202</v>
      </c>
      <c r="B97" s="20"/>
      <c r="C97" s="15" t="s">
        <v>73</v>
      </c>
      <c r="D97" s="16">
        <v>5</v>
      </c>
      <c r="E97" s="16">
        <v>12</v>
      </c>
      <c r="F97" s="56">
        <f t="shared" si="21"/>
        <v>0.41666666666666669</v>
      </c>
      <c r="G97" s="16">
        <v>2</v>
      </c>
      <c r="H97" s="16">
        <v>7</v>
      </c>
      <c r="I97" s="56">
        <f t="shared" si="22"/>
        <v>0.2857142857142857</v>
      </c>
      <c r="J97" s="16">
        <v>1</v>
      </c>
      <c r="K97" s="16">
        <v>2</v>
      </c>
      <c r="L97" s="56">
        <f t="shared" si="23"/>
        <v>0.5</v>
      </c>
      <c r="M97" s="16">
        <v>1</v>
      </c>
      <c r="N97" s="16">
        <v>1</v>
      </c>
      <c r="O97" s="16">
        <v>1</v>
      </c>
      <c r="P97" s="16">
        <v>0</v>
      </c>
      <c r="Q97" s="16">
        <v>0</v>
      </c>
      <c r="R97" s="16">
        <v>13</v>
      </c>
    </row>
    <row r="98" spans="1:18" x14ac:dyDescent="0.25">
      <c r="A98" s="21">
        <v>42202</v>
      </c>
      <c r="B98" s="20"/>
      <c r="C98" s="15" t="s">
        <v>112</v>
      </c>
      <c r="D98" s="16">
        <v>0</v>
      </c>
      <c r="E98" s="16">
        <v>1</v>
      </c>
      <c r="F98" s="56">
        <f t="shared" si="21"/>
        <v>0</v>
      </c>
      <c r="G98" s="16">
        <v>0</v>
      </c>
      <c r="H98" s="16">
        <v>0</v>
      </c>
      <c r="I98" s="56">
        <f t="shared" si="22"/>
        <v>0</v>
      </c>
      <c r="J98" s="16">
        <v>0</v>
      </c>
      <c r="K98" s="16">
        <v>0</v>
      </c>
      <c r="L98" s="56">
        <f t="shared" si="23"/>
        <v>0</v>
      </c>
      <c r="M98" s="16">
        <v>1</v>
      </c>
      <c r="N98" s="16">
        <v>0</v>
      </c>
      <c r="O98" s="16">
        <v>0</v>
      </c>
      <c r="P98" s="16">
        <v>1</v>
      </c>
      <c r="Q98" s="16">
        <v>0</v>
      </c>
      <c r="R98" s="16">
        <v>0</v>
      </c>
    </row>
    <row r="99" spans="1:18" x14ac:dyDescent="0.25">
      <c r="A99" s="21">
        <v>42202</v>
      </c>
      <c r="B99" s="20"/>
      <c r="C99" s="15" t="s">
        <v>108</v>
      </c>
      <c r="D99" s="16">
        <v>6</v>
      </c>
      <c r="E99" s="16">
        <v>10</v>
      </c>
      <c r="F99" s="56">
        <f t="shared" si="21"/>
        <v>0.6</v>
      </c>
      <c r="G99" s="16">
        <v>0</v>
      </c>
      <c r="H99" s="16">
        <v>0</v>
      </c>
      <c r="I99" s="56">
        <f t="shared" si="22"/>
        <v>0</v>
      </c>
      <c r="J99" s="16">
        <v>0</v>
      </c>
      <c r="K99" s="16">
        <v>0</v>
      </c>
      <c r="L99" s="56">
        <f t="shared" si="23"/>
        <v>0</v>
      </c>
      <c r="M99" s="16">
        <v>10</v>
      </c>
      <c r="N99" s="16">
        <v>1</v>
      </c>
      <c r="O99" s="16">
        <v>0</v>
      </c>
      <c r="P99" s="16">
        <v>1</v>
      </c>
      <c r="Q99" s="16">
        <v>2</v>
      </c>
      <c r="R99" s="16">
        <v>12</v>
      </c>
    </row>
    <row r="100" spans="1:18" x14ac:dyDescent="0.25">
      <c r="A100" s="21">
        <v>42203</v>
      </c>
      <c r="B100" s="20"/>
      <c r="C100" s="15" t="s">
        <v>69</v>
      </c>
      <c r="D100" s="16">
        <v>2</v>
      </c>
      <c r="E100" s="16">
        <v>9</v>
      </c>
      <c r="F100" s="56">
        <f t="shared" si="21"/>
        <v>0.22222222222222221</v>
      </c>
      <c r="G100" s="16">
        <v>0</v>
      </c>
      <c r="H100" s="16">
        <v>0</v>
      </c>
      <c r="I100" s="56">
        <f t="shared" si="22"/>
        <v>0</v>
      </c>
      <c r="J100" s="16">
        <v>1</v>
      </c>
      <c r="K100" s="16">
        <v>2</v>
      </c>
      <c r="L100" s="56">
        <f t="shared" si="23"/>
        <v>0.5</v>
      </c>
      <c r="M100" s="16">
        <v>5</v>
      </c>
      <c r="N100" s="16">
        <v>1</v>
      </c>
      <c r="O100" s="16">
        <v>2</v>
      </c>
      <c r="P100" s="16">
        <v>1</v>
      </c>
      <c r="Q100" s="16">
        <v>0</v>
      </c>
      <c r="R100" s="16">
        <v>5</v>
      </c>
    </row>
    <row r="101" spans="1:18" x14ac:dyDescent="0.25">
      <c r="A101" s="21">
        <v>42204</v>
      </c>
      <c r="B101" s="20"/>
      <c r="C101" s="15" t="s">
        <v>73</v>
      </c>
      <c r="D101" s="16">
        <v>7</v>
      </c>
      <c r="E101" s="16">
        <v>12</v>
      </c>
      <c r="F101" s="56">
        <f t="shared" si="21"/>
        <v>0.58333333333333337</v>
      </c>
      <c r="G101" s="16">
        <v>1</v>
      </c>
      <c r="H101" s="16">
        <v>1</v>
      </c>
      <c r="I101" s="56">
        <f t="shared" si="22"/>
        <v>1</v>
      </c>
      <c r="J101" s="16">
        <v>0</v>
      </c>
      <c r="K101" s="16">
        <v>0</v>
      </c>
      <c r="L101" s="56">
        <f t="shared" si="23"/>
        <v>0</v>
      </c>
      <c r="M101" s="16">
        <v>5</v>
      </c>
      <c r="N101" s="16">
        <v>2</v>
      </c>
      <c r="O101" s="16">
        <v>0</v>
      </c>
      <c r="P101" s="16">
        <v>0</v>
      </c>
      <c r="Q101" s="16">
        <v>1</v>
      </c>
      <c r="R101" s="16">
        <v>15</v>
      </c>
    </row>
    <row r="102" spans="1:18" x14ac:dyDescent="0.25">
      <c r="A102" s="21">
        <v>42204</v>
      </c>
      <c r="B102" s="20"/>
      <c r="C102" s="15" t="s">
        <v>108</v>
      </c>
      <c r="D102" s="16">
        <v>6</v>
      </c>
      <c r="E102" s="16">
        <v>11</v>
      </c>
      <c r="F102" s="56">
        <f t="shared" si="21"/>
        <v>0.54545454545454541</v>
      </c>
      <c r="G102" s="16">
        <v>0</v>
      </c>
      <c r="H102" s="16">
        <v>0</v>
      </c>
      <c r="I102" s="56">
        <f t="shared" si="22"/>
        <v>0</v>
      </c>
      <c r="J102" s="16">
        <v>4</v>
      </c>
      <c r="K102" s="16">
        <v>6</v>
      </c>
      <c r="L102" s="56">
        <f t="shared" si="23"/>
        <v>0.66666666666666663</v>
      </c>
      <c r="M102" s="16">
        <v>1</v>
      </c>
      <c r="N102" s="16">
        <v>4</v>
      </c>
      <c r="O102" s="16">
        <v>0</v>
      </c>
      <c r="P102" s="16">
        <v>3</v>
      </c>
      <c r="Q102" s="16">
        <v>0</v>
      </c>
      <c r="R102" s="16">
        <v>16</v>
      </c>
    </row>
    <row r="103" spans="1:18" x14ac:dyDescent="0.25">
      <c r="A103" s="21">
        <v>42204</v>
      </c>
      <c r="B103" s="20"/>
      <c r="C103" s="15" t="s">
        <v>112</v>
      </c>
      <c r="D103" s="16">
        <v>0</v>
      </c>
      <c r="E103" s="16">
        <v>1</v>
      </c>
      <c r="F103" s="56">
        <f t="shared" si="21"/>
        <v>0</v>
      </c>
      <c r="G103" s="16">
        <v>0</v>
      </c>
      <c r="H103" s="16">
        <v>0</v>
      </c>
      <c r="I103" s="56">
        <f t="shared" si="22"/>
        <v>0</v>
      </c>
      <c r="J103" s="16">
        <v>0</v>
      </c>
      <c r="K103" s="16">
        <v>0</v>
      </c>
      <c r="L103" s="56">
        <f t="shared" si="23"/>
        <v>0</v>
      </c>
      <c r="M103" s="16">
        <v>1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</row>
    <row r="104" spans="1:18" x14ac:dyDescent="0.25">
      <c r="A104" s="21">
        <v>42203</v>
      </c>
      <c r="B104" s="20"/>
      <c r="C104" s="15" t="s">
        <v>71</v>
      </c>
      <c r="D104" s="16">
        <v>4</v>
      </c>
      <c r="E104" s="16">
        <v>14</v>
      </c>
      <c r="F104" s="56">
        <f t="shared" si="21"/>
        <v>0.2857142857142857</v>
      </c>
      <c r="G104" s="16">
        <v>0</v>
      </c>
      <c r="H104" s="16">
        <v>0</v>
      </c>
      <c r="I104" s="56">
        <f t="shared" si="22"/>
        <v>0</v>
      </c>
      <c r="J104" s="16">
        <v>0</v>
      </c>
      <c r="K104" s="16">
        <v>0</v>
      </c>
      <c r="L104" s="56">
        <f t="shared" si="23"/>
        <v>0</v>
      </c>
      <c r="M104" s="16">
        <v>6</v>
      </c>
      <c r="N104" s="16">
        <v>2</v>
      </c>
      <c r="O104" s="16">
        <v>1</v>
      </c>
      <c r="P104" s="16">
        <v>1</v>
      </c>
      <c r="Q104" s="16">
        <v>0</v>
      </c>
      <c r="R104" s="16">
        <v>8</v>
      </c>
    </row>
    <row r="105" spans="1:18" x14ac:dyDescent="0.25">
      <c r="A105" s="21">
        <v>42206</v>
      </c>
      <c r="B105" s="20"/>
      <c r="C105" s="15" t="s">
        <v>71</v>
      </c>
      <c r="D105" s="16">
        <v>6</v>
      </c>
      <c r="E105" s="16">
        <v>11</v>
      </c>
      <c r="F105" s="70">
        <f t="shared" ref="F105:F126" si="24">IF(E105=0,0,D105/E105)</f>
        <v>0.54545454545454541</v>
      </c>
      <c r="G105" s="16">
        <v>0</v>
      </c>
      <c r="H105" s="16">
        <v>0</v>
      </c>
      <c r="I105" s="70">
        <f t="shared" ref="I105:I126" si="25">IF(H105=0,0,G105/H105)</f>
        <v>0</v>
      </c>
      <c r="J105" s="16">
        <v>0</v>
      </c>
      <c r="K105" s="16">
        <v>0</v>
      </c>
      <c r="L105" s="70">
        <f t="shared" ref="L105:L126" si="26">IF(K105=0,0,J105/K105)</f>
        <v>0</v>
      </c>
      <c r="M105" s="16">
        <v>3</v>
      </c>
      <c r="N105" s="16">
        <v>3</v>
      </c>
      <c r="O105" s="16">
        <v>1</v>
      </c>
      <c r="P105" s="16">
        <v>0</v>
      </c>
      <c r="Q105" s="16">
        <v>0</v>
      </c>
      <c r="R105" s="16">
        <v>12</v>
      </c>
    </row>
    <row r="106" spans="1:18" x14ac:dyDescent="0.25">
      <c r="A106" s="21">
        <v>42206</v>
      </c>
      <c r="B106" s="20"/>
      <c r="C106" s="15" t="s">
        <v>107</v>
      </c>
      <c r="D106" s="16">
        <v>1</v>
      </c>
      <c r="E106" s="16">
        <v>7</v>
      </c>
      <c r="F106" s="70">
        <f t="shared" si="24"/>
        <v>0.14285714285714285</v>
      </c>
      <c r="G106" s="16">
        <v>0</v>
      </c>
      <c r="H106" s="16">
        <v>1</v>
      </c>
      <c r="I106" s="70">
        <f t="shared" si="25"/>
        <v>0</v>
      </c>
      <c r="J106" s="16">
        <v>1</v>
      </c>
      <c r="K106" s="16">
        <v>4</v>
      </c>
      <c r="L106" s="70">
        <f t="shared" si="26"/>
        <v>0.25</v>
      </c>
      <c r="M106" s="16">
        <v>3</v>
      </c>
      <c r="N106" s="16">
        <v>4</v>
      </c>
      <c r="O106" s="16">
        <v>4</v>
      </c>
      <c r="P106" s="16">
        <v>1</v>
      </c>
      <c r="Q106" s="16">
        <v>0</v>
      </c>
      <c r="R106" s="16">
        <v>3</v>
      </c>
    </row>
    <row r="107" spans="1:18" x14ac:dyDescent="0.25">
      <c r="A107" s="21">
        <v>42206</v>
      </c>
      <c r="B107" s="20"/>
      <c r="C107" s="15" t="s">
        <v>69</v>
      </c>
      <c r="D107" s="16">
        <v>5</v>
      </c>
      <c r="E107" s="16">
        <v>10</v>
      </c>
      <c r="F107" s="70">
        <f t="shared" si="24"/>
        <v>0.5</v>
      </c>
      <c r="G107" s="16">
        <v>0</v>
      </c>
      <c r="H107" s="16">
        <v>0</v>
      </c>
      <c r="I107" s="70">
        <f t="shared" si="25"/>
        <v>0</v>
      </c>
      <c r="J107" s="16">
        <v>0</v>
      </c>
      <c r="K107" s="16">
        <v>0</v>
      </c>
      <c r="L107" s="70">
        <f t="shared" si="26"/>
        <v>0</v>
      </c>
      <c r="M107" s="16">
        <v>9</v>
      </c>
      <c r="N107" s="16">
        <v>0</v>
      </c>
      <c r="O107" s="16">
        <v>0</v>
      </c>
      <c r="P107" s="16">
        <v>2</v>
      </c>
      <c r="Q107" s="16">
        <v>4</v>
      </c>
      <c r="R107" s="16">
        <v>10</v>
      </c>
    </row>
    <row r="108" spans="1:18" x14ac:dyDescent="0.25">
      <c r="A108" s="21">
        <v>42206</v>
      </c>
      <c r="B108" s="20"/>
      <c r="C108" s="15" t="s">
        <v>112</v>
      </c>
      <c r="D108" s="16">
        <v>2</v>
      </c>
      <c r="E108" s="16">
        <v>2</v>
      </c>
      <c r="F108" s="70">
        <f t="shared" si="24"/>
        <v>1</v>
      </c>
      <c r="G108" s="16">
        <v>0</v>
      </c>
      <c r="H108" s="16">
        <v>0</v>
      </c>
      <c r="I108" s="70">
        <f t="shared" si="25"/>
        <v>0</v>
      </c>
      <c r="J108" s="16">
        <v>2</v>
      </c>
      <c r="K108" s="16">
        <v>4</v>
      </c>
      <c r="L108" s="70">
        <f t="shared" si="26"/>
        <v>0.5</v>
      </c>
      <c r="M108" s="16">
        <v>3</v>
      </c>
      <c r="N108" s="16">
        <v>1</v>
      </c>
      <c r="O108" s="16">
        <v>0</v>
      </c>
      <c r="P108" s="16">
        <v>1</v>
      </c>
      <c r="Q108" s="16">
        <v>1</v>
      </c>
      <c r="R108" s="16">
        <v>6</v>
      </c>
    </row>
    <row r="109" spans="1:18" x14ac:dyDescent="0.25">
      <c r="A109" s="21">
        <v>42206</v>
      </c>
      <c r="B109" s="20"/>
      <c r="C109" s="15" t="s">
        <v>73</v>
      </c>
      <c r="D109" s="16">
        <v>6</v>
      </c>
      <c r="E109" s="16">
        <v>11</v>
      </c>
      <c r="F109" s="70">
        <f t="shared" si="24"/>
        <v>0.54545454545454541</v>
      </c>
      <c r="G109" s="16">
        <v>2</v>
      </c>
      <c r="H109" s="16">
        <v>3</v>
      </c>
      <c r="I109" s="70">
        <f t="shared" si="25"/>
        <v>0.66666666666666663</v>
      </c>
      <c r="J109" s="16">
        <v>9</v>
      </c>
      <c r="K109" s="16">
        <v>9</v>
      </c>
      <c r="L109" s="70">
        <f t="shared" si="26"/>
        <v>1</v>
      </c>
      <c r="M109" s="16">
        <v>4</v>
      </c>
      <c r="N109" s="16">
        <v>0</v>
      </c>
      <c r="O109" s="16">
        <v>0</v>
      </c>
      <c r="P109" s="16">
        <v>3</v>
      </c>
      <c r="Q109" s="16">
        <v>0</v>
      </c>
      <c r="R109" s="16">
        <v>23</v>
      </c>
    </row>
    <row r="110" spans="1:18" x14ac:dyDescent="0.25">
      <c r="A110" s="72">
        <v>42207</v>
      </c>
      <c r="B110" s="43"/>
      <c r="C110" s="22" t="s">
        <v>108</v>
      </c>
      <c r="D110" s="23">
        <v>5</v>
      </c>
      <c r="E110" s="23">
        <v>11</v>
      </c>
      <c r="F110" s="38">
        <f t="shared" si="24"/>
        <v>0.45454545454545453</v>
      </c>
      <c r="G110" s="23">
        <v>0</v>
      </c>
      <c r="H110" s="23">
        <v>0</v>
      </c>
      <c r="I110" s="38">
        <f t="shared" si="25"/>
        <v>0</v>
      </c>
      <c r="J110" s="23">
        <v>2</v>
      </c>
      <c r="K110" s="23">
        <v>2</v>
      </c>
      <c r="L110" s="38">
        <f t="shared" si="26"/>
        <v>1</v>
      </c>
      <c r="M110" s="23">
        <v>4</v>
      </c>
      <c r="N110" s="23">
        <v>5</v>
      </c>
      <c r="O110" s="23">
        <v>1</v>
      </c>
      <c r="P110" s="23">
        <v>4</v>
      </c>
      <c r="Q110" s="23">
        <v>0</v>
      </c>
      <c r="R110" s="25">
        <v>12</v>
      </c>
    </row>
    <row r="111" spans="1:18" x14ac:dyDescent="0.25">
      <c r="A111" s="77">
        <v>42213</v>
      </c>
      <c r="B111" s="43"/>
      <c r="C111" s="22" t="s">
        <v>30</v>
      </c>
      <c r="D111" s="23">
        <v>6</v>
      </c>
      <c r="E111" s="23">
        <v>15</v>
      </c>
      <c r="F111" s="38">
        <f t="shared" si="24"/>
        <v>0.4</v>
      </c>
      <c r="G111" s="23">
        <v>1</v>
      </c>
      <c r="H111" s="23">
        <v>4</v>
      </c>
      <c r="I111" s="38">
        <f t="shared" si="25"/>
        <v>0.25</v>
      </c>
      <c r="J111" s="23">
        <v>0</v>
      </c>
      <c r="K111" s="23">
        <v>0</v>
      </c>
      <c r="L111" s="38">
        <f t="shared" si="26"/>
        <v>0</v>
      </c>
      <c r="M111" s="23">
        <v>7</v>
      </c>
      <c r="N111" s="23">
        <v>1</v>
      </c>
      <c r="O111" s="23">
        <v>1</v>
      </c>
      <c r="P111" s="23">
        <v>3</v>
      </c>
      <c r="Q111" s="23">
        <v>0</v>
      </c>
      <c r="R111" s="25">
        <v>13</v>
      </c>
    </row>
    <row r="112" spans="1:18" x14ac:dyDescent="0.25">
      <c r="A112" s="77">
        <v>42213</v>
      </c>
      <c r="B112" s="43"/>
      <c r="C112" s="22" t="s">
        <v>107</v>
      </c>
      <c r="D112" s="23">
        <v>9</v>
      </c>
      <c r="E112" s="23">
        <v>17</v>
      </c>
      <c r="F112" s="38">
        <f t="shared" si="24"/>
        <v>0.52941176470588236</v>
      </c>
      <c r="G112" s="23">
        <v>0</v>
      </c>
      <c r="H112" s="23">
        <v>2</v>
      </c>
      <c r="I112" s="38">
        <f t="shared" si="25"/>
        <v>0</v>
      </c>
      <c r="J112" s="23">
        <v>1</v>
      </c>
      <c r="K112" s="23">
        <v>1</v>
      </c>
      <c r="L112" s="38">
        <f t="shared" si="26"/>
        <v>1</v>
      </c>
      <c r="M112" s="23">
        <v>0</v>
      </c>
      <c r="N112" s="23">
        <v>0</v>
      </c>
      <c r="O112" s="23">
        <v>2</v>
      </c>
      <c r="P112" s="23">
        <v>0</v>
      </c>
      <c r="Q112" s="23">
        <v>0</v>
      </c>
      <c r="R112" s="25">
        <v>19</v>
      </c>
    </row>
    <row r="113" spans="1:18" x14ac:dyDescent="0.25">
      <c r="A113" s="77">
        <v>42213</v>
      </c>
      <c r="B113" s="43"/>
      <c r="C113" s="22" t="s">
        <v>73</v>
      </c>
      <c r="D113" s="23">
        <v>5</v>
      </c>
      <c r="E113" s="23">
        <v>11</v>
      </c>
      <c r="F113" s="38">
        <f t="shared" si="24"/>
        <v>0.45454545454545453</v>
      </c>
      <c r="G113" s="23">
        <v>2</v>
      </c>
      <c r="H113" s="23">
        <v>5</v>
      </c>
      <c r="I113" s="38">
        <f t="shared" si="25"/>
        <v>0.4</v>
      </c>
      <c r="J113" s="23">
        <v>2</v>
      </c>
      <c r="K113" s="23">
        <v>2</v>
      </c>
      <c r="L113" s="38">
        <f t="shared" si="26"/>
        <v>1</v>
      </c>
      <c r="M113" s="23">
        <v>3</v>
      </c>
      <c r="N113" s="23">
        <v>3</v>
      </c>
      <c r="O113" s="23">
        <v>1</v>
      </c>
      <c r="P113" s="23">
        <v>2</v>
      </c>
      <c r="Q113" s="23">
        <v>2</v>
      </c>
      <c r="R113" s="25">
        <v>14</v>
      </c>
    </row>
    <row r="114" spans="1:18" x14ac:dyDescent="0.25">
      <c r="A114" s="77">
        <v>42213</v>
      </c>
      <c r="B114" s="43"/>
      <c r="C114" s="22" t="s">
        <v>69</v>
      </c>
      <c r="D114" s="23">
        <v>2</v>
      </c>
      <c r="E114" s="23">
        <v>8</v>
      </c>
      <c r="F114" s="38">
        <f t="shared" si="24"/>
        <v>0.25</v>
      </c>
      <c r="G114" s="23">
        <v>0</v>
      </c>
      <c r="H114" s="23">
        <v>0</v>
      </c>
      <c r="I114" s="38">
        <f t="shared" si="25"/>
        <v>0</v>
      </c>
      <c r="J114" s="23">
        <v>0</v>
      </c>
      <c r="K114" s="23">
        <v>2</v>
      </c>
      <c r="L114" s="38">
        <f t="shared" si="26"/>
        <v>0</v>
      </c>
      <c r="M114" s="23">
        <v>4</v>
      </c>
      <c r="N114" s="23">
        <v>0</v>
      </c>
      <c r="O114" s="23">
        <v>0</v>
      </c>
      <c r="P114" s="23">
        <v>0</v>
      </c>
      <c r="Q114" s="23">
        <v>1</v>
      </c>
      <c r="R114" s="25">
        <v>4</v>
      </c>
    </row>
    <row r="115" spans="1:18" x14ac:dyDescent="0.25">
      <c r="A115" s="77">
        <v>42213</v>
      </c>
      <c r="B115" s="43"/>
      <c r="C115" s="22" t="s">
        <v>112</v>
      </c>
      <c r="D115" s="23">
        <v>1</v>
      </c>
      <c r="E115" s="23">
        <v>1</v>
      </c>
      <c r="F115" s="38">
        <f t="shared" si="24"/>
        <v>1</v>
      </c>
      <c r="G115" s="23">
        <v>0</v>
      </c>
      <c r="H115" s="23">
        <v>0</v>
      </c>
      <c r="I115" s="38">
        <f t="shared" si="25"/>
        <v>0</v>
      </c>
      <c r="J115" s="23">
        <v>0</v>
      </c>
      <c r="K115" s="23">
        <v>0</v>
      </c>
      <c r="L115" s="38">
        <f t="shared" si="26"/>
        <v>0</v>
      </c>
      <c r="M115" s="23">
        <v>1</v>
      </c>
      <c r="N115" s="23">
        <v>0</v>
      </c>
      <c r="O115" s="23">
        <v>0</v>
      </c>
      <c r="P115" s="23">
        <v>1</v>
      </c>
      <c r="Q115" s="23">
        <v>0</v>
      </c>
      <c r="R115" s="25">
        <v>2</v>
      </c>
    </row>
    <row r="116" spans="1:18" x14ac:dyDescent="0.25">
      <c r="A116" s="77">
        <v>42213</v>
      </c>
      <c r="B116" s="43"/>
      <c r="C116" s="22" t="s">
        <v>71</v>
      </c>
      <c r="D116" s="23">
        <v>5</v>
      </c>
      <c r="E116" s="23">
        <v>10</v>
      </c>
      <c r="F116" s="38">
        <f t="shared" si="24"/>
        <v>0.5</v>
      </c>
      <c r="G116" s="23">
        <v>0</v>
      </c>
      <c r="H116" s="23">
        <v>0</v>
      </c>
      <c r="I116" s="38">
        <f t="shared" si="25"/>
        <v>0</v>
      </c>
      <c r="J116" s="23">
        <v>1</v>
      </c>
      <c r="K116" s="23">
        <v>2</v>
      </c>
      <c r="L116" s="38">
        <f t="shared" si="26"/>
        <v>0.5</v>
      </c>
      <c r="M116" s="23">
        <v>2</v>
      </c>
      <c r="N116" s="23">
        <v>0</v>
      </c>
      <c r="O116" s="23">
        <v>0</v>
      </c>
      <c r="P116" s="23">
        <v>1</v>
      </c>
      <c r="Q116" s="23">
        <v>0</v>
      </c>
      <c r="R116" s="25">
        <v>11</v>
      </c>
    </row>
    <row r="117" spans="1:18" x14ac:dyDescent="0.25">
      <c r="A117" s="43">
        <v>42214</v>
      </c>
      <c r="B117" s="43"/>
      <c r="C117" s="22" t="s">
        <v>30</v>
      </c>
      <c r="D117" s="23">
        <v>8</v>
      </c>
      <c r="E117" s="23">
        <v>14</v>
      </c>
      <c r="F117" s="38">
        <f t="shared" si="24"/>
        <v>0.5714285714285714</v>
      </c>
      <c r="G117" s="23">
        <v>1</v>
      </c>
      <c r="H117" s="23">
        <v>4</v>
      </c>
      <c r="I117" s="38">
        <f t="shared" si="25"/>
        <v>0.25</v>
      </c>
      <c r="J117" s="23">
        <v>2</v>
      </c>
      <c r="K117" s="23">
        <v>2</v>
      </c>
      <c r="L117" s="38">
        <f t="shared" si="26"/>
        <v>1</v>
      </c>
      <c r="M117" s="23">
        <v>8</v>
      </c>
      <c r="N117" s="23">
        <v>3</v>
      </c>
      <c r="O117" s="23">
        <v>0</v>
      </c>
      <c r="P117" s="23">
        <v>3</v>
      </c>
      <c r="Q117" s="23">
        <v>0</v>
      </c>
      <c r="R117" s="25">
        <v>19</v>
      </c>
    </row>
    <row r="118" spans="1:18" x14ac:dyDescent="0.25">
      <c r="A118" s="43">
        <v>42214</v>
      </c>
      <c r="B118" s="43"/>
      <c r="C118" s="22" t="s">
        <v>107</v>
      </c>
      <c r="D118" s="23">
        <v>4</v>
      </c>
      <c r="E118" s="23">
        <v>12</v>
      </c>
      <c r="F118" s="38">
        <f t="shared" si="24"/>
        <v>0.33333333333333331</v>
      </c>
      <c r="G118" s="23">
        <v>0</v>
      </c>
      <c r="H118" s="23">
        <v>2</v>
      </c>
      <c r="I118" s="38">
        <f t="shared" si="25"/>
        <v>0</v>
      </c>
      <c r="J118" s="23">
        <v>3</v>
      </c>
      <c r="K118" s="23">
        <v>4</v>
      </c>
      <c r="L118" s="38">
        <f t="shared" si="26"/>
        <v>0.75</v>
      </c>
      <c r="M118" s="23">
        <v>3</v>
      </c>
      <c r="N118" s="23">
        <v>1</v>
      </c>
      <c r="O118" s="23">
        <v>0</v>
      </c>
      <c r="P118" s="23">
        <v>1</v>
      </c>
      <c r="Q118" s="23">
        <v>1</v>
      </c>
      <c r="R118" s="25">
        <v>11</v>
      </c>
    </row>
    <row r="119" spans="1:18" x14ac:dyDescent="0.25">
      <c r="A119" s="43">
        <v>42214</v>
      </c>
      <c r="B119" s="43"/>
      <c r="C119" s="22" t="s">
        <v>108</v>
      </c>
      <c r="D119" s="23">
        <v>3</v>
      </c>
      <c r="E119" s="23">
        <v>4</v>
      </c>
      <c r="F119" s="38">
        <f t="shared" si="24"/>
        <v>0.75</v>
      </c>
      <c r="G119" s="23">
        <v>0</v>
      </c>
      <c r="H119" s="23">
        <v>0</v>
      </c>
      <c r="I119" s="38">
        <f t="shared" si="25"/>
        <v>0</v>
      </c>
      <c r="J119" s="23">
        <v>2</v>
      </c>
      <c r="K119" s="23">
        <v>4</v>
      </c>
      <c r="L119" s="38">
        <f t="shared" si="26"/>
        <v>0.5</v>
      </c>
      <c r="M119" s="23">
        <v>0</v>
      </c>
      <c r="N119" s="23">
        <v>1</v>
      </c>
      <c r="O119" s="23">
        <v>1</v>
      </c>
      <c r="P119" s="23">
        <v>2</v>
      </c>
      <c r="Q119" s="23">
        <v>0</v>
      </c>
      <c r="R119" s="25">
        <v>8</v>
      </c>
    </row>
    <row r="120" spans="1:18" x14ac:dyDescent="0.25">
      <c r="A120" s="43">
        <v>42214</v>
      </c>
      <c r="B120" s="43"/>
      <c r="C120" s="22" t="s">
        <v>102</v>
      </c>
      <c r="D120" s="23">
        <v>1</v>
      </c>
      <c r="E120" s="23">
        <v>1</v>
      </c>
      <c r="F120" s="38">
        <f t="shared" si="24"/>
        <v>1</v>
      </c>
      <c r="G120" s="23">
        <v>0</v>
      </c>
      <c r="H120" s="23">
        <v>0</v>
      </c>
      <c r="I120" s="38">
        <f t="shared" si="25"/>
        <v>0</v>
      </c>
      <c r="J120" s="23">
        <v>0</v>
      </c>
      <c r="K120" s="23">
        <v>0</v>
      </c>
      <c r="L120" s="38">
        <f t="shared" si="26"/>
        <v>0</v>
      </c>
      <c r="M120" s="23">
        <v>0</v>
      </c>
      <c r="N120" s="23">
        <v>1</v>
      </c>
      <c r="O120" s="23">
        <v>0</v>
      </c>
      <c r="P120" s="23">
        <v>0</v>
      </c>
      <c r="Q120" s="23">
        <v>0</v>
      </c>
      <c r="R120" s="25">
        <v>2</v>
      </c>
    </row>
    <row r="121" spans="1:18" x14ac:dyDescent="0.25">
      <c r="A121" s="72">
        <v>42215</v>
      </c>
      <c r="B121" s="43"/>
      <c r="C121" s="22" t="s">
        <v>71</v>
      </c>
      <c r="D121" s="23">
        <v>9</v>
      </c>
      <c r="E121" s="23">
        <v>13</v>
      </c>
      <c r="F121" s="38">
        <f t="shared" si="24"/>
        <v>0.69230769230769229</v>
      </c>
      <c r="G121" s="23">
        <v>0</v>
      </c>
      <c r="H121" s="23">
        <v>0</v>
      </c>
      <c r="I121" s="38">
        <f t="shared" si="25"/>
        <v>0</v>
      </c>
      <c r="J121" s="23">
        <v>2</v>
      </c>
      <c r="K121" s="23">
        <v>2</v>
      </c>
      <c r="L121" s="38">
        <f t="shared" si="26"/>
        <v>1</v>
      </c>
      <c r="M121" s="23">
        <v>4</v>
      </c>
      <c r="N121" s="23">
        <v>0</v>
      </c>
      <c r="O121" s="23">
        <v>0</v>
      </c>
      <c r="P121" s="23">
        <v>3</v>
      </c>
      <c r="Q121" s="23">
        <v>0</v>
      </c>
      <c r="R121" s="25">
        <v>20</v>
      </c>
    </row>
    <row r="122" spans="1:18" x14ac:dyDescent="0.25">
      <c r="A122" s="43">
        <v>42216</v>
      </c>
      <c r="B122" s="43"/>
      <c r="C122" s="22" t="s">
        <v>69</v>
      </c>
      <c r="D122" s="23">
        <v>0</v>
      </c>
      <c r="E122" s="23">
        <v>1</v>
      </c>
      <c r="F122" s="38">
        <f t="shared" si="24"/>
        <v>0</v>
      </c>
      <c r="G122" s="23">
        <v>0</v>
      </c>
      <c r="H122" s="23">
        <v>0</v>
      </c>
      <c r="I122" s="38">
        <f t="shared" si="25"/>
        <v>0</v>
      </c>
      <c r="J122" s="23">
        <v>0</v>
      </c>
      <c r="K122" s="23">
        <v>0</v>
      </c>
      <c r="L122" s="38">
        <f t="shared" si="26"/>
        <v>0</v>
      </c>
      <c r="M122" s="23">
        <v>1</v>
      </c>
      <c r="N122" s="23">
        <v>0</v>
      </c>
      <c r="O122" s="23">
        <v>0</v>
      </c>
      <c r="P122" s="23">
        <v>1</v>
      </c>
      <c r="Q122" s="23">
        <v>0</v>
      </c>
      <c r="R122" s="25">
        <v>0</v>
      </c>
    </row>
    <row r="123" spans="1:18" x14ac:dyDescent="0.25">
      <c r="A123" s="43">
        <v>42216</v>
      </c>
      <c r="B123" s="43"/>
      <c r="C123" s="22" t="s">
        <v>73</v>
      </c>
      <c r="D123" s="23">
        <v>3</v>
      </c>
      <c r="E123" s="23">
        <v>7</v>
      </c>
      <c r="F123" s="38">
        <f t="shared" si="24"/>
        <v>0.42857142857142855</v>
      </c>
      <c r="G123" s="23">
        <v>2</v>
      </c>
      <c r="H123" s="23">
        <v>4</v>
      </c>
      <c r="I123" s="38">
        <f t="shared" si="25"/>
        <v>0.5</v>
      </c>
      <c r="J123" s="23">
        <v>0</v>
      </c>
      <c r="K123" s="23">
        <v>0</v>
      </c>
      <c r="L123" s="38">
        <f t="shared" si="26"/>
        <v>0</v>
      </c>
      <c r="M123" s="23">
        <v>1</v>
      </c>
      <c r="N123" s="23">
        <v>1</v>
      </c>
      <c r="O123" s="23">
        <v>1</v>
      </c>
      <c r="P123" s="23">
        <v>1</v>
      </c>
      <c r="Q123" s="23">
        <v>1</v>
      </c>
      <c r="R123" s="25">
        <v>8</v>
      </c>
    </row>
    <row r="124" spans="1:18" x14ac:dyDescent="0.25">
      <c r="A124" s="21">
        <v>42216</v>
      </c>
      <c r="B124" s="20"/>
      <c r="C124" s="15" t="s">
        <v>112</v>
      </c>
      <c r="D124" s="16">
        <v>0</v>
      </c>
      <c r="E124" s="16">
        <v>1</v>
      </c>
      <c r="F124" s="70">
        <f t="shared" si="24"/>
        <v>0</v>
      </c>
      <c r="G124" s="16">
        <v>0</v>
      </c>
      <c r="H124" s="16">
        <v>0</v>
      </c>
      <c r="I124" s="70">
        <f t="shared" si="25"/>
        <v>0</v>
      </c>
      <c r="J124" s="16">
        <v>0</v>
      </c>
      <c r="K124" s="16">
        <v>0</v>
      </c>
      <c r="L124" s="70">
        <f t="shared" si="26"/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</row>
    <row r="125" spans="1:18" x14ac:dyDescent="0.25">
      <c r="A125" s="21">
        <v>42216</v>
      </c>
      <c r="B125" s="20"/>
      <c r="C125" s="15" t="s">
        <v>102</v>
      </c>
      <c r="D125" s="16">
        <v>3</v>
      </c>
      <c r="E125" s="16">
        <v>8</v>
      </c>
      <c r="F125" s="70">
        <f t="shared" si="24"/>
        <v>0.375</v>
      </c>
      <c r="G125" s="16">
        <v>0</v>
      </c>
      <c r="H125" s="16">
        <v>3</v>
      </c>
      <c r="I125" s="70">
        <f t="shared" si="25"/>
        <v>0</v>
      </c>
      <c r="J125" s="16">
        <v>0</v>
      </c>
      <c r="K125" s="16">
        <v>0</v>
      </c>
      <c r="L125" s="70">
        <f t="shared" si="26"/>
        <v>0</v>
      </c>
      <c r="M125" s="16">
        <v>1</v>
      </c>
      <c r="N125" s="16">
        <v>9</v>
      </c>
      <c r="O125" s="16">
        <v>2</v>
      </c>
      <c r="P125" s="16">
        <v>1</v>
      </c>
      <c r="Q125" s="16">
        <v>1</v>
      </c>
      <c r="R125" s="16">
        <v>6</v>
      </c>
    </row>
    <row r="126" spans="1:18" x14ac:dyDescent="0.25">
      <c r="A126" s="21">
        <v>42216</v>
      </c>
      <c r="B126" s="20"/>
      <c r="C126" s="15" t="s">
        <v>108</v>
      </c>
      <c r="D126" s="16">
        <v>6</v>
      </c>
      <c r="E126" s="16">
        <v>11</v>
      </c>
      <c r="F126" s="70">
        <f t="shared" si="24"/>
        <v>0.54545454545454541</v>
      </c>
      <c r="G126" s="16">
        <v>0</v>
      </c>
      <c r="H126" s="16">
        <v>0</v>
      </c>
      <c r="I126" s="70">
        <f t="shared" si="25"/>
        <v>0</v>
      </c>
      <c r="J126" s="16">
        <v>0</v>
      </c>
      <c r="K126" s="16">
        <v>1</v>
      </c>
      <c r="L126" s="70">
        <f t="shared" si="26"/>
        <v>0</v>
      </c>
      <c r="M126" s="16">
        <v>6</v>
      </c>
      <c r="N126" s="16">
        <v>3</v>
      </c>
      <c r="O126" s="16">
        <v>1</v>
      </c>
      <c r="P126" s="16">
        <v>1</v>
      </c>
      <c r="Q126" s="16">
        <v>1</v>
      </c>
      <c r="R126" s="16">
        <v>12</v>
      </c>
    </row>
    <row r="127" spans="1:18" x14ac:dyDescent="0.25">
      <c r="A127" s="73">
        <v>42217</v>
      </c>
      <c r="B127" s="20"/>
      <c r="C127" s="20" t="s">
        <v>108</v>
      </c>
      <c r="D127" s="16">
        <v>1</v>
      </c>
      <c r="E127" s="16">
        <v>7</v>
      </c>
      <c r="F127" s="75">
        <f t="shared" ref="F127:F133" si="27">IF(E127=0,0,D127/E127)</f>
        <v>0.14285714285714285</v>
      </c>
      <c r="G127" s="16">
        <v>0</v>
      </c>
      <c r="H127" s="16">
        <v>0</v>
      </c>
      <c r="I127" s="75">
        <f t="shared" ref="I127:I133" si="28">IF(H127=0,0,G127/H127)</f>
        <v>0</v>
      </c>
      <c r="J127" s="16">
        <v>2</v>
      </c>
      <c r="K127" s="16">
        <v>4</v>
      </c>
      <c r="L127" s="75">
        <f t="shared" ref="L127:L133" si="29">IF(K127=0,0,J127/K127)</f>
        <v>0.5</v>
      </c>
      <c r="M127" s="16">
        <v>2</v>
      </c>
      <c r="N127" s="16">
        <v>4</v>
      </c>
      <c r="O127" s="16">
        <v>0</v>
      </c>
      <c r="P127" s="16">
        <v>1</v>
      </c>
      <c r="Q127" s="16">
        <v>0</v>
      </c>
      <c r="R127" s="16">
        <v>4</v>
      </c>
    </row>
    <row r="128" spans="1:18" x14ac:dyDescent="0.25">
      <c r="A128" s="73">
        <v>42217</v>
      </c>
      <c r="B128" s="20"/>
      <c r="C128" s="20" t="s">
        <v>102</v>
      </c>
      <c r="D128" s="16">
        <v>1</v>
      </c>
      <c r="E128" s="16">
        <v>7</v>
      </c>
      <c r="F128" s="75">
        <f t="shared" si="27"/>
        <v>0.14285714285714285</v>
      </c>
      <c r="G128" s="16">
        <v>1</v>
      </c>
      <c r="H128" s="16">
        <v>3</v>
      </c>
      <c r="I128" s="75">
        <f t="shared" si="28"/>
        <v>0.33333333333333331</v>
      </c>
      <c r="J128" s="16">
        <v>0</v>
      </c>
      <c r="K128" s="16">
        <v>0</v>
      </c>
      <c r="L128" s="75">
        <f t="shared" si="29"/>
        <v>0</v>
      </c>
      <c r="M128" s="16">
        <v>3</v>
      </c>
      <c r="N128" s="16">
        <v>2</v>
      </c>
      <c r="O128" s="16">
        <v>0</v>
      </c>
      <c r="P128" s="16">
        <v>0</v>
      </c>
      <c r="Q128" s="16">
        <v>0</v>
      </c>
      <c r="R128" s="16">
        <v>3</v>
      </c>
    </row>
    <row r="129" spans="1:18" x14ac:dyDescent="0.25">
      <c r="A129" s="77">
        <v>42218</v>
      </c>
      <c r="B129" s="43"/>
      <c r="C129" s="47" t="s">
        <v>71</v>
      </c>
      <c r="D129" s="23">
        <v>8</v>
      </c>
      <c r="E129" s="23">
        <v>11</v>
      </c>
      <c r="F129" s="38">
        <f t="shared" si="27"/>
        <v>0.72727272727272729</v>
      </c>
      <c r="G129" s="23">
        <v>0</v>
      </c>
      <c r="H129" s="23">
        <v>0</v>
      </c>
      <c r="I129" s="38">
        <f t="shared" si="28"/>
        <v>0</v>
      </c>
      <c r="J129" s="23">
        <v>11</v>
      </c>
      <c r="K129" s="23">
        <v>13</v>
      </c>
      <c r="L129" s="38">
        <f t="shared" si="29"/>
        <v>0.84615384615384615</v>
      </c>
      <c r="M129" s="23">
        <v>6</v>
      </c>
      <c r="N129" s="23">
        <v>1</v>
      </c>
      <c r="O129" s="23">
        <v>3</v>
      </c>
      <c r="P129" s="23">
        <v>1</v>
      </c>
      <c r="Q129" s="23">
        <v>0</v>
      </c>
      <c r="R129" s="25">
        <v>27</v>
      </c>
    </row>
    <row r="130" spans="1:18" x14ac:dyDescent="0.25">
      <c r="A130" s="77">
        <v>42218</v>
      </c>
      <c r="B130" s="43"/>
      <c r="C130" s="47" t="s">
        <v>107</v>
      </c>
      <c r="D130" s="23">
        <v>0</v>
      </c>
      <c r="E130" s="23">
        <v>4</v>
      </c>
      <c r="F130" s="38">
        <f t="shared" si="27"/>
        <v>0</v>
      </c>
      <c r="G130" s="23">
        <v>0</v>
      </c>
      <c r="H130" s="23">
        <v>1</v>
      </c>
      <c r="I130" s="38">
        <f t="shared" si="28"/>
        <v>0</v>
      </c>
      <c r="J130" s="23">
        <v>8</v>
      </c>
      <c r="K130" s="23">
        <v>8</v>
      </c>
      <c r="L130" s="38">
        <f t="shared" si="29"/>
        <v>1</v>
      </c>
      <c r="M130" s="23">
        <v>3</v>
      </c>
      <c r="N130" s="23">
        <v>3</v>
      </c>
      <c r="O130" s="23">
        <v>1</v>
      </c>
      <c r="P130" s="23">
        <v>0</v>
      </c>
      <c r="Q130" s="23">
        <v>0</v>
      </c>
      <c r="R130" s="25">
        <v>8</v>
      </c>
    </row>
    <row r="131" spans="1:18" x14ac:dyDescent="0.25">
      <c r="A131" s="77">
        <v>42218</v>
      </c>
      <c r="B131" s="43"/>
      <c r="C131" s="47" t="s">
        <v>69</v>
      </c>
      <c r="D131" s="23">
        <v>2</v>
      </c>
      <c r="E131" s="23">
        <v>6</v>
      </c>
      <c r="F131" s="38">
        <f t="shared" si="27"/>
        <v>0.33333333333333331</v>
      </c>
      <c r="G131" s="23">
        <v>0</v>
      </c>
      <c r="H131" s="23">
        <v>0</v>
      </c>
      <c r="I131" s="38">
        <f t="shared" si="28"/>
        <v>0</v>
      </c>
      <c r="J131" s="23">
        <v>0</v>
      </c>
      <c r="K131" s="23">
        <v>0</v>
      </c>
      <c r="L131" s="38">
        <f t="shared" si="29"/>
        <v>0</v>
      </c>
      <c r="M131" s="23">
        <v>10</v>
      </c>
      <c r="N131" s="23">
        <v>1</v>
      </c>
      <c r="O131" s="23">
        <v>0</v>
      </c>
      <c r="P131" s="23">
        <v>1</v>
      </c>
      <c r="Q131" s="23">
        <v>0</v>
      </c>
      <c r="R131" s="25">
        <v>4</v>
      </c>
    </row>
    <row r="132" spans="1:18" x14ac:dyDescent="0.25">
      <c r="A132" s="77">
        <v>42218</v>
      </c>
      <c r="B132" s="43"/>
      <c r="C132" s="47" t="s">
        <v>73</v>
      </c>
      <c r="D132" s="23">
        <v>3</v>
      </c>
      <c r="E132" s="23">
        <v>5</v>
      </c>
      <c r="F132" s="38">
        <f t="shared" si="27"/>
        <v>0.6</v>
      </c>
      <c r="G132" s="23">
        <v>0</v>
      </c>
      <c r="H132" s="23">
        <v>0</v>
      </c>
      <c r="I132" s="38">
        <f t="shared" si="28"/>
        <v>0</v>
      </c>
      <c r="J132" s="23">
        <v>2</v>
      </c>
      <c r="K132" s="23">
        <v>2</v>
      </c>
      <c r="L132" s="38">
        <f t="shared" si="29"/>
        <v>1</v>
      </c>
      <c r="M132" s="23">
        <v>0</v>
      </c>
      <c r="N132" s="23">
        <v>0</v>
      </c>
      <c r="O132" s="23">
        <v>0</v>
      </c>
      <c r="P132" s="23">
        <v>1</v>
      </c>
      <c r="Q132" s="23">
        <v>1</v>
      </c>
      <c r="R132" s="25">
        <v>8</v>
      </c>
    </row>
    <row r="133" spans="1:18" x14ac:dyDescent="0.25">
      <c r="A133" s="77">
        <v>42218</v>
      </c>
      <c r="B133" s="43"/>
      <c r="C133" s="47" t="s">
        <v>30</v>
      </c>
      <c r="D133" s="23">
        <v>6</v>
      </c>
      <c r="E133" s="23">
        <v>10</v>
      </c>
      <c r="F133" s="38">
        <f t="shared" si="27"/>
        <v>0.6</v>
      </c>
      <c r="G133" s="23">
        <v>2</v>
      </c>
      <c r="H133" s="23">
        <v>3</v>
      </c>
      <c r="I133" s="38">
        <f t="shared" si="28"/>
        <v>0.66666666666666663</v>
      </c>
      <c r="J133" s="23">
        <v>2</v>
      </c>
      <c r="K133" s="23">
        <v>2</v>
      </c>
      <c r="L133" s="38">
        <f t="shared" si="29"/>
        <v>1</v>
      </c>
      <c r="M133" s="23">
        <v>4</v>
      </c>
      <c r="N133" s="23">
        <v>0</v>
      </c>
      <c r="O133" s="23">
        <v>3</v>
      </c>
      <c r="P133" s="23">
        <v>2</v>
      </c>
      <c r="Q133" s="23">
        <v>0</v>
      </c>
      <c r="R133" s="25">
        <v>16</v>
      </c>
    </row>
    <row r="134" spans="1:18" x14ac:dyDescent="0.25">
      <c r="A134" s="77">
        <v>42220</v>
      </c>
      <c r="B134" s="43"/>
      <c r="C134" s="22" t="s">
        <v>107</v>
      </c>
      <c r="D134" s="23">
        <v>0</v>
      </c>
      <c r="E134" s="23">
        <v>4</v>
      </c>
      <c r="F134" s="38">
        <f t="shared" ref="F134:F151" si="30">IF(E134=0,0,D134/E134)</f>
        <v>0</v>
      </c>
      <c r="G134" s="23">
        <v>0</v>
      </c>
      <c r="H134" s="23">
        <v>0</v>
      </c>
      <c r="I134" s="38">
        <f t="shared" ref="I134:I151" si="31">IF(H134=0,0,G134/H134)</f>
        <v>0</v>
      </c>
      <c r="J134" s="23">
        <v>3</v>
      </c>
      <c r="K134" s="23">
        <v>4</v>
      </c>
      <c r="L134" s="38">
        <f t="shared" ref="L134:L151" si="32">IF(K134=0,0,J134/K134)</f>
        <v>0.75</v>
      </c>
      <c r="M134" s="23">
        <v>2</v>
      </c>
      <c r="N134" s="23">
        <v>3</v>
      </c>
      <c r="O134" s="23">
        <v>2</v>
      </c>
      <c r="P134" s="23">
        <v>1</v>
      </c>
      <c r="Q134" s="23">
        <v>0</v>
      </c>
      <c r="R134" s="25">
        <v>3</v>
      </c>
    </row>
    <row r="135" spans="1:18" x14ac:dyDescent="0.25">
      <c r="A135" s="77">
        <v>42220</v>
      </c>
      <c r="B135" s="43"/>
      <c r="C135" s="22" t="s">
        <v>73</v>
      </c>
      <c r="D135" s="23">
        <v>0</v>
      </c>
      <c r="E135" s="23">
        <v>2</v>
      </c>
      <c r="F135" s="38">
        <f t="shared" si="30"/>
        <v>0</v>
      </c>
      <c r="G135" s="23">
        <v>0</v>
      </c>
      <c r="H135" s="23">
        <v>2</v>
      </c>
      <c r="I135" s="38">
        <f t="shared" si="31"/>
        <v>0</v>
      </c>
      <c r="J135" s="23">
        <v>2</v>
      </c>
      <c r="K135" s="23">
        <v>2</v>
      </c>
      <c r="L135" s="38">
        <f t="shared" si="32"/>
        <v>1</v>
      </c>
      <c r="M135" s="23">
        <v>2</v>
      </c>
      <c r="N135" s="23">
        <v>0</v>
      </c>
      <c r="O135" s="23">
        <v>0</v>
      </c>
      <c r="P135" s="23">
        <v>2</v>
      </c>
      <c r="Q135" s="23">
        <v>0</v>
      </c>
      <c r="R135" s="25">
        <v>2</v>
      </c>
    </row>
    <row r="136" spans="1:18" x14ac:dyDescent="0.25">
      <c r="A136" s="77">
        <v>42220</v>
      </c>
      <c r="B136" s="43"/>
      <c r="C136" s="22" t="s">
        <v>78</v>
      </c>
      <c r="D136" s="23">
        <v>6</v>
      </c>
      <c r="E136" s="23">
        <v>11</v>
      </c>
      <c r="F136" s="38">
        <f t="shared" si="30"/>
        <v>0.54545454545454541</v>
      </c>
      <c r="G136" s="23">
        <v>0</v>
      </c>
      <c r="H136" s="23">
        <v>0</v>
      </c>
      <c r="I136" s="38">
        <f t="shared" si="31"/>
        <v>0</v>
      </c>
      <c r="J136" s="23">
        <v>2</v>
      </c>
      <c r="K136" s="23">
        <v>2</v>
      </c>
      <c r="L136" s="38">
        <f t="shared" si="32"/>
        <v>1</v>
      </c>
      <c r="M136" s="23">
        <v>6</v>
      </c>
      <c r="N136" s="23">
        <v>1</v>
      </c>
      <c r="O136" s="23">
        <v>0</v>
      </c>
      <c r="P136" s="23">
        <v>1</v>
      </c>
      <c r="Q136" s="23">
        <v>1</v>
      </c>
      <c r="R136" s="25">
        <v>14</v>
      </c>
    </row>
    <row r="137" spans="1:18" x14ac:dyDescent="0.25">
      <c r="A137" s="77">
        <v>42220</v>
      </c>
      <c r="B137" s="43"/>
      <c r="C137" s="22" t="s">
        <v>30</v>
      </c>
      <c r="D137" s="23">
        <v>4</v>
      </c>
      <c r="E137" s="23">
        <v>9</v>
      </c>
      <c r="F137" s="38">
        <f t="shared" si="30"/>
        <v>0.44444444444444442</v>
      </c>
      <c r="G137" s="23">
        <v>2</v>
      </c>
      <c r="H137" s="23">
        <v>3</v>
      </c>
      <c r="I137" s="38">
        <f t="shared" si="31"/>
        <v>0.66666666666666663</v>
      </c>
      <c r="J137" s="23">
        <v>1</v>
      </c>
      <c r="K137" s="23">
        <v>1</v>
      </c>
      <c r="L137" s="38">
        <f t="shared" si="32"/>
        <v>1</v>
      </c>
      <c r="M137" s="23">
        <v>2</v>
      </c>
      <c r="N137" s="23">
        <v>4</v>
      </c>
      <c r="O137" s="23">
        <v>0</v>
      </c>
      <c r="P137" s="23">
        <v>1</v>
      </c>
      <c r="Q137" s="23">
        <v>0</v>
      </c>
      <c r="R137" s="25">
        <v>11</v>
      </c>
    </row>
    <row r="138" spans="1:18" x14ac:dyDescent="0.25">
      <c r="A138" s="77">
        <v>42220</v>
      </c>
      <c r="B138" s="43"/>
      <c r="C138" s="22" t="s">
        <v>71</v>
      </c>
      <c r="D138" s="23">
        <v>10</v>
      </c>
      <c r="E138" s="23">
        <v>17</v>
      </c>
      <c r="F138" s="38">
        <f t="shared" si="30"/>
        <v>0.58823529411764708</v>
      </c>
      <c r="G138" s="23">
        <v>0</v>
      </c>
      <c r="H138" s="23">
        <v>0</v>
      </c>
      <c r="I138" s="38">
        <f t="shared" si="31"/>
        <v>0</v>
      </c>
      <c r="J138" s="23">
        <v>4</v>
      </c>
      <c r="K138" s="23">
        <v>5</v>
      </c>
      <c r="L138" s="38">
        <f t="shared" si="32"/>
        <v>0.8</v>
      </c>
      <c r="M138" s="23">
        <v>4</v>
      </c>
      <c r="N138" s="23">
        <v>3</v>
      </c>
      <c r="O138" s="23">
        <v>1</v>
      </c>
      <c r="P138" s="23">
        <v>1</v>
      </c>
      <c r="Q138" s="23">
        <v>1</v>
      </c>
      <c r="R138" s="25">
        <v>24</v>
      </c>
    </row>
    <row r="139" spans="1:18" x14ac:dyDescent="0.25">
      <c r="A139" s="77">
        <v>42220</v>
      </c>
      <c r="B139" s="43"/>
      <c r="C139" s="22" t="s">
        <v>69</v>
      </c>
      <c r="D139" s="23">
        <v>5</v>
      </c>
      <c r="E139" s="23">
        <v>6</v>
      </c>
      <c r="F139" s="38">
        <f t="shared" si="30"/>
        <v>0.83333333333333337</v>
      </c>
      <c r="G139" s="23">
        <v>0</v>
      </c>
      <c r="H139" s="23">
        <v>0</v>
      </c>
      <c r="I139" s="38">
        <f t="shared" si="31"/>
        <v>0</v>
      </c>
      <c r="J139" s="23">
        <v>0</v>
      </c>
      <c r="K139" s="23">
        <v>2</v>
      </c>
      <c r="L139" s="38">
        <f t="shared" si="32"/>
        <v>0</v>
      </c>
      <c r="M139" s="23">
        <v>2</v>
      </c>
      <c r="N139" s="23">
        <v>0</v>
      </c>
      <c r="O139" s="23">
        <v>2</v>
      </c>
      <c r="P139" s="23">
        <v>2</v>
      </c>
      <c r="Q139" s="23">
        <v>1</v>
      </c>
      <c r="R139" s="25">
        <v>10</v>
      </c>
    </row>
    <row r="140" spans="1:18" x14ac:dyDescent="0.25">
      <c r="A140" s="77">
        <v>42223</v>
      </c>
      <c r="B140" s="43"/>
      <c r="C140" s="22" t="s">
        <v>107</v>
      </c>
      <c r="D140" s="23">
        <v>2</v>
      </c>
      <c r="E140" s="23">
        <v>9</v>
      </c>
      <c r="F140" s="38">
        <f t="shared" si="30"/>
        <v>0.22222222222222221</v>
      </c>
      <c r="G140" s="23">
        <v>0</v>
      </c>
      <c r="H140" s="23">
        <v>0</v>
      </c>
      <c r="I140" s="38">
        <f t="shared" si="31"/>
        <v>0</v>
      </c>
      <c r="J140" s="23">
        <v>5</v>
      </c>
      <c r="K140" s="23">
        <v>6</v>
      </c>
      <c r="L140" s="38">
        <f t="shared" si="32"/>
        <v>0.83333333333333337</v>
      </c>
      <c r="M140" s="23">
        <v>2</v>
      </c>
      <c r="N140" s="23">
        <v>3</v>
      </c>
      <c r="O140" s="23">
        <v>1</v>
      </c>
      <c r="P140" s="23">
        <v>0</v>
      </c>
      <c r="Q140" s="23">
        <v>0</v>
      </c>
      <c r="R140" s="25">
        <v>9</v>
      </c>
    </row>
    <row r="141" spans="1:18" x14ac:dyDescent="0.25">
      <c r="A141" s="73">
        <v>42223</v>
      </c>
      <c r="B141" s="20"/>
      <c r="C141" s="15" t="s">
        <v>73</v>
      </c>
      <c r="D141" s="16">
        <v>2</v>
      </c>
      <c r="E141" s="16">
        <v>7</v>
      </c>
      <c r="F141" s="76">
        <f t="shared" si="30"/>
        <v>0.2857142857142857</v>
      </c>
      <c r="G141" s="16">
        <v>0</v>
      </c>
      <c r="H141" s="16">
        <v>1</v>
      </c>
      <c r="I141" s="76">
        <f t="shared" si="31"/>
        <v>0</v>
      </c>
      <c r="J141" s="16">
        <v>0</v>
      </c>
      <c r="K141" s="16">
        <v>0</v>
      </c>
      <c r="L141" s="76">
        <f t="shared" si="32"/>
        <v>0</v>
      </c>
      <c r="M141" s="16">
        <v>1</v>
      </c>
      <c r="N141" s="16">
        <v>2</v>
      </c>
      <c r="O141" s="16">
        <v>0</v>
      </c>
      <c r="P141" s="16">
        <v>0</v>
      </c>
      <c r="Q141" s="16">
        <v>1</v>
      </c>
      <c r="R141" s="16">
        <v>4</v>
      </c>
    </row>
    <row r="142" spans="1:18" x14ac:dyDescent="0.25">
      <c r="A142" s="73">
        <v>42223</v>
      </c>
      <c r="B142" s="20"/>
      <c r="C142" s="15" t="s">
        <v>78</v>
      </c>
      <c r="D142" s="16">
        <v>2</v>
      </c>
      <c r="E142" s="16">
        <v>3</v>
      </c>
      <c r="F142" s="76">
        <f t="shared" si="30"/>
        <v>0.66666666666666663</v>
      </c>
      <c r="G142" s="16">
        <v>0</v>
      </c>
      <c r="H142" s="16">
        <v>0</v>
      </c>
      <c r="I142" s="76">
        <f t="shared" si="31"/>
        <v>0</v>
      </c>
      <c r="J142" s="16">
        <v>0</v>
      </c>
      <c r="K142" s="16">
        <v>0</v>
      </c>
      <c r="L142" s="76">
        <f t="shared" si="32"/>
        <v>0</v>
      </c>
      <c r="M142" s="16">
        <v>4</v>
      </c>
      <c r="N142" s="16">
        <v>0</v>
      </c>
      <c r="O142" s="16">
        <v>0</v>
      </c>
      <c r="P142" s="16">
        <v>2</v>
      </c>
      <c r="Q142" s="16">
        <v>0</v>
      </c>
      <c r="R142" s="16">
        <v>4</v>
      </c>
    </row>
    <row r="143" spans="1:18" x14ac:dyDescent="0.25">
      <c r="A143" s="73">
        <v>42223</v>
      </c>
      <c r="B143" s="20"/>
      <c r="C143" s="15" t="s">
        <v>71</v>
      </c>
      <c r="D143" s="16">
        <v>5</v>
      </c>
      <c r="E143" s="16">
        <v>14</v>
      </c>
      <c r="F143" s="76">
        <f t="shared" si="30"/>
        <v>0.35714285714285715</v>
      </c>
      <c r="G143" s="16">
        <v>0</v>
      </c>
      <c r="H143" s="16">
        <v>0</v>
      </c>
      <c r="I143" s="76">
        <f t="shared" si="31"/>
        <v>0</v>
      </c>
      <c r="J143" s="16">
        <v>1</v>
      </c>
      <c r="K143" s="16">
        <v>2</v>
      </c>
      <c r="L143" s="76">
        <f t="shared" si="32"/>
        <v>0.5</v>
      </c>
      <c r="M143" s="16">
        <v>6</v>
      </c>
      <c r="N143" s="16">
        <v>4</v>
      </c>
      <c r="O143" s="16">
        <v>1</v>
      </c>
      <c r="P143" s="16">
        <v>1</v>
      </c>
      <c r="Q143" s="16">
        <v>0</v>
      </c>
      <c r="R143" s="16">
        <v>11</v>
      </c>
    </row>
    <row r="144" spans="1:18" x14ac:dyDescent="0.25">
      <c r="A144" s="73">
        <v>42223</v>
      </c>
      <c r="B144" s="20"/>
      <c r="C144" s="15" t="s">
        <v>30</v>
      </c>
      <c r="D144" s="16">
        <v>5</v>
      </c>
      <c r="E144" s="16">
        <v>7</v>
      </c>
      <c r="F144" s="76">
        <f t="shared" si="30"/>
        <v>0.7142857142857143</v>
      </c>
      <c r="G144" s="16">
        <v>0</v>
      </c>
      <c r="H144" s="16">
        <v>1</v>
      </c>
      <c r="I144" s="76">
        <f t="shared" si="31"/>
        <v>0</v>
      </c>
      <c r="J144" s="16">
        <v>5</v>
      </c>
      <c r="K144" s="16">
        <v>5</v>
      </c>
      <c r="L144" s="76">
        <f t="shared" si="32"/>
        <v>1</v>
      </c>
      <c r="M144" s="16">
        <v>7</v>
      </c>
      <c r="N144" s="16">
        <v>2</v>
      </c>
      <c r="O144" s="16">
        <v>3</v>
      </c>
      <c r="P144" s="16">
        <v>2</v>
      </c>
      <c r="Q144" s="16">
        <v>0</v>
      </c>
      <c r="R144" s="16">
        <v>15</v>
      </c>
    </row>
    <row r="145" spans="1:18" x14ac:dyDescent="0.25">
      <c r="A145" s="73">
        <v>42223</v>
      </c>
      <c r="B145" s="20"/>
      <c r="C145" s="15" t="s">
        <v>69</v>
      </c>
      <c r="D145" s="16">
        <v>1</v>
      </c>
      <c r="E145" s="16">
        <v>5</v>
      </c>
      <c r="F145" s="76">
        <f t="shared" si="30"/>
        <v>0.2</v>
      </c>
      <c r="G145" s="16">
        <v>0</v>
      </c>
      <c r="H145" s="16">
        <v>0</v>
      </c>
      <c r="I145" s="76">
        <f t="shared" si="31"/>
        <v>0</v>
      </c>
      <c r="J145" s="16">
        <v>0</v>
      </c>
      <c r="K145" s="16">
        <v>0</v>
      </c>
      <c r="L145" s="76">
        <f t="shared" si="32"/>
        <v>0</v>
      </c>
      <c r="M145" s="16">
        <v>1</v>
      </c>
      <c r="N145" s="16">
        <v>0</v>
      </c>
      <c r="O145" s="16">
        <v>1</v>
      </c>
      <c r="P145" s="16">
        <v>0</v>
      </c>
      <c r="Q145" s="16">
        <v>2</v>
      </c>
      <c r="R145" s="16">
        <v>2</v>
      </c>
    </row>
    <row r="146" spans="1:18" x14ac:dyDescent="0.25">
      <c r="A146" s="71">
        <v>42225</v>
      </c>
      <c r="B146" s="20"/>
      <c r="C146" s="15" t="s">
        <v>71</v>
      </c>
      <c r="D146" s="16">
        <v>4</v>
      </c>
      <c r="E146" s="16">
        <v>12</v>
      </c>
      <c r="F146" s="76">
        <f t="shared" si="30"/>
        <v>0.33333333333333331</v>
      </c>
      <c r="G146" s="16">
        <v>0</v>
      </c>
      <c r="H146" s="16">
        <v>0</v>
      </c>
      <c r="I146" s="76">
        <f t="shared" si="31"/>
        <v>0</v>
      </c>
      <c r="J146" s="16">
        <v>1</v>
      </c>
      <c r="K146" s="16">
        <v>2</v>
      </c>
      <c r="L146" s="76">
        <f t="shared" si="32"/>
        <v>0.5</v>
      </c>
      <c r="M146" s="16">
        <v>5</v>
      </c>
      <c r="N146" s="16">
        <v>4</v>
      </c>
      <c r="O146" s="16">
        <v>2</v>
      </c>
      <c r="P146" s="16">
        <v>3</v>
      </c>
      <c r="Q146" s="16">
        <v>1</v>
      </c>
      <c r="R146" s="16">
        <v>9</v>
      </c>
    </row>
    <row r="147" spans="1:18" x14ac:dyDescent="0.25">
      <c r="A147" s="71">
        <v>42225</v>
      </c>
      <c r="B147" s="20"/>
      <c r="C147" s="15" t="s">
        <v>73</v>
      </c>
      <c r="D147" s="16">
        <v>5</v>
      </c>
      <c r="E147" s="16">
        <v>16</v>
      </c>
      <c r="F147" s="76">
        <f t="shared" si="30"/>
        <v>0.3125</v>
      </c>
      <c r="G147" s="16">
        <v>1</v>
      </c>
      <c r="H147" s="16">
        <v>5</v>
      </c>
      <c r="I147" s="76">
        <f t="shared" si="31"/>
        <v>0.2</v>
      </c>
      <c r="J147" s="16">
        <v>2</v>
      </c>
      <c r="K147" s="16">
        <v>2</v>
      </c>
      <c r="L147" s="76">
        <f t="shared" si="32"/>
        <v>1</v>
      </c>
      <c r="M147" s="16">
        <v>1</v>
      </c>
      <c r="N147" s="16">
        <v>2</v>
      </c>
      <c r="O147" s="16">
        <v>0</v>
      </c>
      <c r="P147" s="16">
        <v>1</v>
      </c>
      <c r="Q147" s="16">
        <v>0</v>
      </c>
      <c r="R147" s="16">
        <v>13</v>
      </c>
    </row>
    <row r="148" spans="1:18" x14ac:dyDescent="0.25">
      <c r="A148" s="71">
        <v>42225</v>
      </c>
      <c r="B148" s="20"/>
      <c r="C148" s="15" t="s">
        <v>78</v>
      </c>
      <c r="D148" s="16">
        <v>0</v>
      </c>
      <c r="E148" s="16">
        <v>5</v>
      </c>
      <c r="F148" s="76">
        <f t="shared" si="30"/>
        <v>0</v>
      </c>
      <c r="G148" s="16">
        <v>0</v>
      </c>
      <c r="H148" s="16">
        <v>0</v>
      </c>
      <c r="I148" s="76">
        <f t="shared" si="31"/>
        <v>0</v>
      </c>
      <c r="J148" s="16">
        <v>0</v>
      </c>
      <c r="K148" s="16">
        <v>0</v>
      </c>
      <c r="L148" s="76">
        <f t="shared" si="32"/>
        <v>0</v>
      </c>
      <c r="M148" s="16">
        <v>2</v>
      </c>
      <c r="N148" s="16">
        <v>1</v>
      </c>
      <c r="O148" s="16">
        <v>0</v>
      </c>
      <c r="P148" s="16">
        <v>0</v>
      </c>
      <c r="Q148" s="16">
        <v>0</v>
      </c>
      <c r="R148" s="16">
        <v>0</v>
      </c>
    </row>
    <row r="149" spans="1:18" x14ac:dyDescent="0.25">
      <c r="A149" s="71">
        <v>42225</v>
      </c>
      <c r="B149" s="20"/>
      <c r="C149" s="15" t="s">
        <v>69</v>
      </c>
      <c r="D149" s="16">
        <v>2</v>
      </c>
      <c r="E149" s="16">
        <v>6</v>
      </c>
      <c r="F149" s="76">
        <f t="shared" si="30"/>
        <v>0.33333333333333331</v>
      </c>
      <c r="G149" s="16">
        <v>0</v>
      </c>
      <c r="H149" s="16">
        <v>0</v>
      </c>
      <c r="I149" s="76">
        <f t="shared" si="31"/>
        <v>0</v>
      </c>
      <c r="J149" s="16">
        <v>0</v>
      </c>
      <c r="K149" s="16">
        <v>0</v>
      </c>
      <c r="L149" s="76">
        <f t="shared" si="32"/>
        <v>0</v>
      </c>
      <c r="M149" s="16">
        <v>3</v>
      </c>
      <c r="N149" s="16">
        <v>1</v>
      </c>
      <c r="O149" s="16">
        <v>1</v>
      </c>
      <c r="P149" s="16">
        <v>0</v>
      </c>
      <c r="Q149" s="16">
        <v>1</v>
      </c>
      <c r="R149" s="16">
        <v>4</v>
      </c>
    </row>
    <row r="150" spans="1:18" x14ac:dyDescent="0.25">
      <c r="A150" s="71">
        <v>42225</v>
      </c>
      <c r="B150" s="20"/>
      <c r="C150" s="15" t="s">
        <v>108</v>
      </c>
      <c r="D150" s="16">
        <v>2</v>
      </c>
      <c r="E150" s="16">
        <v>9</v>
      </c>
      <c r="F150" s="76">
        <f t="shared" si="30"/>
        <v>0.22222222222222221</v>
      </c>
      <c r="G150" s="16">
        <v>0</v>
      </c>
      <c r="H150" s="16">
        <v>0</v>
      </c>
      <c r="I150" s="76">
        <f t="shared" si="31"/>
        <v>0</v>
      </c>
      <c r="J150" s="16">
        <v>0</v>
      </c>
      <c r="K150" s="16">
        <v>0</v>
      </c>
      <c r="L150" s="76">
        <f t="shared" si="32"/>
        <v>0</v>
      </c>
      <c r="M150" s="16">
        <v>2</v>
      </c>
      <c r="N150" s="16">
        <v>4</v>
      </c>
      <c r="O150" s="16">
        <v>3</v>
      </c>
      <c r="P150" s="16">
        <v>0</v>
      </c>
      <c r="Q150" s="16">
        <v>1</v>
      </c>
      <c r="R150" s="16">
        <v>4</v>
      </c>
    </row>
    <row r="151" spans="1:18" x14ac:dyDescent="0.25">
      <c r="A151" s="71">
        <v>42225</v>
      </c>
      <c r="B151" s="20"/>
      <c r="C151" s="15" t="s">
        <v>102</v>
      </c>
      <c r="D151" s="16">
        <v>1</v>
      </c>
      <c r="E151" s="16">
        <v>5</v>
      </c>
      <c r="F151" s="76">
        <f t="shared" si="30"/>
        <v>0.2</v>
      </c>
      <c r="G151" s="16">
        <v>0</v>
      </c>
      <c r="H151" s="16">
        <v>4</v>
      </c>
      <c r="I151" s="76">
        <f t="shared" si="31"/>
        <v>0</v>
      </c>
      <c r="J151" s="16">
        <v>0</v>
      </c>
      <c r="K151" s="16">
        <v>0</v>
      </c>
      <c r="L151" s="76">
        <f t="shared" si="32"/>
        <v>0</v>
      </c>
      <c r="M151" s="16">
        <v>3</v>
      </c>
      <c r="N151" s="16">
        <v>1</v>
      </c>
      <c r="O151" s="16">
        <v>1</v>
      </c>
      <c r="P151" s="16">
        <v>2</v>
      </c>
      <c r="Q151" s="16">
        <v>0</v>
      </c>
      <c r="R151" s="16">
        <v>2</v>
      </c>
    </row>
    <row r="152" spans="1:18" x14ac:dyDescent="0.25">
      <c r="A152" s="79">
        <v>42227</v>
      </c>
      <c r="B152" s="60"/>
      <c r="C152" s="59" t="s">
        <v>69</v>
      </c>
      <c r="D152" s="57">
        <v>3</v>
      </c>
      <c r="E152" s="57">
        <v>6</v>
      </c>
      <c r="F152" s="78">
        <f t="shared" ref="F152:F163" si="33">IF(E152=0,0,D152/E152)</f>
        <v>0.5</v>
      </c>
      <c r="G152" s="57">
        <v>0</v>
      </c>
      <c r="H152" s="57">
        <v>0</v>
      </c>
      <c r="I152" s="78">
        <f t="shared" ref="I152:I163" si="34">IF(H152=0,0,G152/H152)</f>
        <v>0</v>
      </c>
      <c r="J152" s="57">
        <v>0</v>
      </c>
      <c r="K152" s="57">
        <v>0</v>
      </c>
      <c r="L152" s="78">
        <f t="shared" ref="L152:L163" si="35">IF(K152=0,0,J152/K152)</f>
        <v>0</v>
      </c>
      <c r="M152" s="57">
        <v>4</v>
      </c>
      <c r="N152" s="57">
        <v>0</v>
      </c>
      <c r="O152" s="57">
        <v>0</v>
      </c>
      <c r="P152" s="57">
        <v>1</v>
      </c>
      <c r="Q152" s="57">
        <v>0</v>
      </c>
      <c r="R152" s="57">
        <v>6</v>
      </c>
    </row>
    <row r="153" spans="1:18" x14ac:dyDescent="0.25">
      <c r="A153" s="79">
        <v>42227</v>
      </c>
      <c r="B153" s="60"/>
      <c r="C153" s="59" t="s">
        <v>78</v>
      </c>
      <c r="D153" s="57">
        <v>1</v>
      </c>
      <c r="E153" s="57">
        <v>3</v>
      </c>
      <c r="F153" s="78">
        <f t="shared" si="33"/>
        <v>0.33333333333333331</v>
      </c>
      <c r="G153" s="57">
        <v>0</v>
      </c>
      <c r="H153" s="57">
        <v>0</v>
      </c>
      <c r="I153" s="78">
        <f t="shared" si="34"/>
        <v>0</v>
      </c>
      <c r="J153" s="57">
        <v>0</v>
      </c>
      <c r="K153" s="57">
        <v>0</v>
      </c>
      <c r="L153" s="78">
        <f t="shared" si="35"/>
        <v>0</v>
      </c>
      <c r="M153" s="57">
        <v>2</v>
      </c>
      <c r="N153" s="57">
        <v>1</v>
      </c>
      <c r="O153" s="57">
        <v>0</v>
      </c>
      <c r="P153" s="57">
        <v>1</v>
      </c>
      <c r="Q153" s="57">
        <v>0</v>
      </c>
      <c r="R153" s="57">
        <v>2</v>
      </c>
    </row>
    <row r="154" spans="1:18" x14ac:dyDescent="0.25">
      <c r="A154" s="79">
        <v>42227</v>
      </c>
      <c r="B154" s="60"/>
      <c r="C154" s="59" t="s">
        <v>73</v>
      </c>
      <c r="D154" s="57">
        <v>1</v>
      </c>
      <c r="E154" s="57">
        <v>8</v>
      </c>
      <c r="F154" s="78">
        <f t="shared" si="33"/>
        <v>0.125</v>
      </c>
      <c r="G154" s="57">
        <v>1</v>
      </c>
      <c r="H154" s="57">
        <v>3</v>
      </c>
      <c r="I154" s="78">
        <f t="shared" si="34"/>
        <v>0.33333333333333331</v>
      </c>
      <c r="J154" s="57">
        <v>0</v>
      </c>
      <c r="K154" s="57">
        <v>0</v>
      </c>
      <c r="L154" s="78">
        <f t="shared" si="35"/>
        <v>0</v>
      </c>
      <c r="M154" s="57">
        <v>1</v>
      </c>
      <c r="N154" s="57">
        <v>1</v>
      </c>
      <c r="O154" s="57">
        <v>0</v>
      </c>
      <c r="P154" s="57">
        <v>2</v>
      </c>
      <c r="Q154" s="57">
        <v>1</v>
      </c>
      <c r="R154" s="57">
        <v>3</v>
      </c>
    </row>
    <row r="155" spans="1:18" x14ac:dyDescent="0.25">
      <c r="A155" s="79">
        <v>42227</v>
      </c>
      <c r="B155" s="60"/>
      <c r="C155" s="59" t="s">
        <v>107</v>
      </c>
      <c r="D155" s="57">
        <v>3</v>
      </c>
      <c r="E155" s="57">
        <v>3</v>
      </c>
      <c r="F155" s="78">
        <f t="shared" si="33"/>
        <v>1</v>
      </c>
      <c r="G155" s="57">
        <v>1</v>
      </c>
      <c r="H155" s="57">
        <v>1</v>
      </c>
      <c r="I155" s="78">
        <f t="shared" si="34"/>
        <v>1</v>
      </c>
      <c r="J155" s="57">
        <v>0</v>
      </c>
      <c r="K155" s="57">
        <v>0</v>
      </c>
      <c r="L155" s="78">
        <f t="shared" si="35"/>
        <v>0</v>
      </c>
      <c r="M155" s="57">
        <v>2</v>
      </c>
      <c r="N155" s="57">
        <v>1</v>
      </c>
      <c r="O155" s="57">
        <v>0</v>
      </c>
      <c r="P155" s="57">
        <v>0</v>
      </c>
      <c r="Q155" s="57">
        <v>0</v>
      </c>
      <c r="R155" s="57">
        <v>7</v>
      </c>
    </row>
    <row r="156" spans="1:18" x14ac:dyDescent="0.25">
      <c r="A156" s="79">
        <v>42227</v>
      </c>
      <c r="B156" s="60"/>
      <c r="C156" s="59" t="s">
        <v>30</v>
      </c>
      <c r="D156" s="57">
        <v>4</v>
      </c>
      <c r="E156" s="57">
        <v>5</v>
      </c>
      <c r="F156" s="78">
        <f t="shared" si="33"/>
        <v>0.8</v>
      </c>
      <c r="G156" s="57">
        <v>0</v>
      </c>
      <c r="H156" s="57">
        <v>0</v>
      </c>
      <c r="I156" s="78">
        <f t="shared" si="34"/>
        <v>0</v>
      </c>
      <c r="J156" s="57">
        <v>3</v>
      </c>
      <c r="K156" s="57">
        <v>3</v>
      </c>
      <c r="L156" s="78">
        <f t="shared" si="35"/>
        <v>1</v>
      </c>
      <c r="M156" s="57">
        <v>9</v>
      </c>
      <c r="N156" s="57">
        <v>3</v>
      </c>
      <c r="O156" s="57">
        <v>0</v>
      </c>
      <c r="P156" s="57">
        <v>2</v>
      </c>
      <c r="Q156" s="57">
        <v>0</v>
      </c>
      <c r="R156" s="57">
        <v>11</v>
      </c>
    </row>
    <row r="157" spans="1:18" x14ac:dyDescent="0.25">
      <c r="A157" s="79">
        <v>42227</v>
      </c>
      <c r="B157" s="60"/>
      <c r="C157" s="59" t="s">
        <v>108</v>
      </c>
      <c r="D157" s="57">
        <v>4</v>
      </c>
      <c r="E157" s="57">
        <v>5</v>
      </c>
      <c r="F157" s="78">
        <f t="shared" si="33"/>
        <v>0.8</v>
      </c>
      <c r="G157" s="57">
        <v>0</v>
      </c>
      <c r="H157" s="57">
        <v>0</v>
      </c>
      <c r="I157" s="78">
        <f t="shared" si="34"/>
        <v>0</v>
      </c>
      <c r="J157" s="57">
        <v>0</v>
      </c>
      <c r="K157" s="57">
        <v>0</v>
      </c>
      <c r="L157" s="78">
        <f t="shared" si="35"/>
        <v>0</v>
      </c>
      <c r="M157" s="57">
        <v>4</v>
      </c>
      <c r="N157" s="57">
        <v>2</v>
      </c>
      <c r="O157" s="57">
        <v>0</v>
      </c>
      <c r="P157" s="57">
        <v>2</v>
      </c>
      <c r="Q157" s="57">
        <v>0</v>
      </c>
      <c r="R157" s="57">
        <v>8</v>
      </c>
    </row>
    <row r="158" spans="1:18" x14ac:dyDescent="0.25">
      <c r="A158" s="79">
        <v>42228</v>
      </c>
      <c r="B158" s="60"/>
      <c r="C158" s="59" t="s">
        <v>71</v>
      </c>
      <c r="D158" s="57">
        <v>4</v>
      </c>
      <c r="E158" s="57">
        <v>9</v>
      </c>
      <c r="F158" s="78">
        <f t="shared" si="33"/>
        <v>0.44444444444444442</v>
      </c>
      <c r="G158" s="57">
        <v>0</v>
      </c>
      <c r="H158" s="57">
        <v>0</v>
      </c>
      <c r="I158" s="78">
        <f t="shared" si="34"/>
        <v>0</v>
      </c>
      <c r="J158" s="57">
        <v>2</v>
      </c>
      <c r="K158" s="57">
        <v>2</v>
      </c>
      <c r="L158" s="78">
        <f t="shared" si="35"/>
        <v>1</v>
      </c>
      <c r="M158" s="57">
        <v>3</v>
      </c>
      <c r="N158" s="57">
        <v>0</v>
      </c>
      <c r="O158" s="57">
        <v>0</v>
      </c>
      <c r="P158" s="57">
        <v>0</v>
      </c>
      <c r="Q158" s="57">
        <v>1</v>
      </c>
      <c r="R158" s="57">
        <v>10</v>
      </c>
    </row>
    <row r="159" spans="1:18" x14ac:dyDescent="0.25">
      <c r="A159" s="79">
        <v>42230</v>
      </c>
      <c r="B159" s="60"/>
      <c r="C159" s="59" t="s">
        <v>108</v>
      </c>
      <c r="D159" s="57">
        <v>2</v>
      </c>
      <c r="E159" s="57">
        <v>4</v>
      </c>
      <c r="F159" s="78">
        <f t="shared" si="33"/>
        <v>0.5</v>
      </c>
      <c r="G159" s="57">
        <v>0</v>
      </c>
      <c r="H159" s="57">
        <v>0</v>
      </c>
      <c r="I159" s="78">
        <f t="shared" si="34"/>
        <v>0</v>
      </c>
      <c r="J159" s="57">
        <v>0</v>
      </c>
      <c r="K159" s="57">
        <v>0</v>
      </c>
      <c r="L159" s="78">
        <f t="shared" si="35"/>
        <v>0</v>
      </c>
      <c r="M159" s="57">
        <v>3</v>
      </c>
      <c r="N159" s="57">
        <v>1</v>
      </c>
      <c r="O159" s="57">
        <v>0</v>
      </c>
      <c r="P159" s="57">
        <v>1</v>
      </c>
      <c r="Q159" s="57">
        <v>0</v>
      </c>
      <c r="R159" s="57">
        <v>4</v>
      </c>
    </row>
    <row r="160" spans="1:18" x14ac:dyDescent="0.25">
      <c r="A160" s="79">
        <v>42230</v>
      </c>
      <c r="B160" s="60"/>
      <c r="C160" s="59" t="s">
        <v>102</v>
      </c>
      <c r="D160" s="57">
        <v>1</v>
      </c>
      <c r="E160" s="57">
        <v>3</v>
      </c>
      <c r="F160" s="78">
        <f t="shared" si="33"/>
        <v>0.33333333333333331</v>
      </c>
      <c r="G160" s="57">
        <v>0</v>
      </c>
      <c r="H160" s="57">
        <v>1</v>
      </c>
      <c r="I160" s="78">
        <f t="shared" si="34"/>
        <v>0</v>
      </c>
      <c r="J160" s="57">
        <v>0</v>
      </c>
      <c r="K160" s="57">
        <v>0</v>
      </c>
      <c r="L160" s="78">
        <f t="shared" si="35"/>
        <v>0</v>
      </c>
      <c r="M160" s="57">
        <v>0</v>
      </c>
      <c r="N160" s="57">
        <v>1</v>
      </c>
      <c r="O160" s="57">
        <v>0</v>
      </c>
      <c r="P160" s="57">
        <v>1</v>
      </c>
      <c r="Q160" s="57">
        <v>0</v>
      </c>
      <c r="R160" s="57">
        <v>2</v>
      </c>
    </row>
    <row r="161" spans="1:18" x14ac:dyDescent="0.25">
      <c r="A161" s="79">
        <v>42230</v>
      </c>
      <c r="B161" s="60"/>
      <c r="C161" s="59" t="s">
        <v>73</v>
      </c>
      <c r="D161" s="57">
        <v>2</v>
      </c>
      <c r="E161" s="57">
        <v>4</v>
      </c>
      <c r="F161" s="78">
        <f t="shared" si="33"/>
        <v>0.5</v>
      </c>
      <c r="G161" s="57">
        <v>1</v>
      </c>
      <c r="H161" s="57">
        <v>1</v>
      </c>
      <c r="I161" s="78">
        <f t="shared" si="34"/>
        <v>1</v>
      </c>
      <c r="J161" s="57">
        <v>0</v>
      </c>
      <c r="K161" s="57">
        <v>0</v>
      </c>
      <c r="L161" s="78">
        <f t="shared" si="35"/>
        <v>0</v>
      </c>
      <c r="M161" s="57">
        <v>1</v>
      </c>
      <c r="N161" s="57">
        <v>1</v>
      </c>
      <c r="O161" s="57">
        <v>0</v>
      </c>
      <c r="P161" s="57">
        <v>1</v>
      </c>
      <c r="Q161" s="57">
        <v>1</v>
      </c>
      <c r="R161" s="57">
        <v>5</v>
      </c>
    </row>
    <row r="162" spans="1:18" x14ac:dyDescent="0.25">
      <c r="A162" s="79">
        <v>42230</v>
      </c>
      <c r="B162" s="60"/>
      <c r="C162" s="59" t="s">
        <v>78</v>
      </c>
      <c r="D162" s="57">
        <v>0</v>
      </c>
      <c r="E162" s="57">
        <v>3</v>
      </c>
      <c r="F162" s="78">
        <f t="shared" si="33"/>
        <v>0</v>
      </c>
      <c r="G162" s="57">
        <v>0</v>
      </c>
      <c r="H162" s="57">
        <v>0</v>
      </c>
      <c r="I162" s="78">
        <f t="shared" si="34"/>
        <v>0</v>
      </c>
      <c r="J162" s="57">
        <v>0</v>
      </c>
      <c r="K162" s="57">
        <v>0</v>
      </c>
      <c r="L162" s="78">
        <f t="shared" si="35"/>
        <v>0</v>
      </c>
      <c r="M162" s="57">
        <v>2</v>
      </c>
      <c r="N162" s="57">
        <v>1</v>
      </c>
      <c r="O162" s="57">
        <v>0</v>
      </c>
      <c r="P162" s="57">
        <v>0</v>
      </c>
      <c r="Q162" s="57">
        <v>0</v>
      </c>
      <c r="R162" s="57">
        <v>0</v>
      </c>
    </row>
    <row r="163" spans="1:18" x14ac:dyDescent="0.25">
      <c r="A163" s="79">
        <v>42230</v>
      </c>
      <c r="B163" s="60"/>
      <c r="C163" s="59" t="s">
        <v>69</v>
      </c>
      <c r="D163" s="57">
        <v>6</v>
      </c>
      <c r="E163" s="57">
        <v>9</v>
      </c>
      <c r="F163" s="78">
        <f t="shared" si="33"/>
        <v>0.66666666666666663</v>
      </c>
      <c r="G163" s="57">
        <v>0</v>
      </c>
      <c r="H163" s="57">
        <v>0</v>
      </c>
      <c r="I163" s="78">
        <f t="shared" si="34"/>
        <v>0</v>
      </c>
      <c r="J163" s="57">
        <v>1</v>
      </c>
      <c r="K163" s="57">
        <v>2</v>
      </c>
      <c r="L163" s="78">
        <f t="shared" si="35"/>
        <v>0.5</v>
      </c>
      <c r="M163" s="57">
        <v>9</v>
      </c>
      <c r="N163" s="57">
        <v>1</v>
      </c>
      <c r="O163" s="57">
        <v>1</v>
      </c>
      <c r="P163" s="57">
        <v>1</v>
      </c>
      <c r="Q163" s="57">
        <v>0</v>
      </c>
      <c r="R163" s="57">
        <v>13</v>
      </c>
    </row>
    <row r="164" spans="1:18" x14ac:dyDescent="0.25">
      <c r="A164" s="43">
        <v>42232</v>
      </c>
      <c r="B164" s="47"/>
      <c r="C164" s="80" t="s">
        <v>70</v>
      </c>
      <c r="D164" s="84">
        <v>2</v>
      </c>
      <c r="E164" s="84">
        <v>10</v>
      </c>
      <c r="F164" s="85">
        <f t="shared" ref="F164:F169" si="36">IF(E164=0,0,D164/E164)</f>
        <v>0.2</v>
      </c>
      <c r="G164" s="84">
        <v>0</v>
      </c>
      <c r="H164" s="84">
        <v>1</v>
      </c>
      <c r="I164" s="85">
        <f t="shared" ref="I164:I169" si="37">IF(H164=0,0,G164/H164)</f>
        <v>0</v>
      </c>
      <c r="J164" s="84">
        <v>0</v>
      </c>
      <c r="K164" s="84">
        <v>0</v>
      </c>
      <c r="L164" s="85">
        <f t="shared" ref="L164:L169" si="38">IF(K164=0,0,J164/K164)</f>
        <v>0</v>
      </c>
      <c r="M164" s="84">
        <v>3</v>
      </c>
      <c r="N164" s="84">
        <v>0</v>
      </c>
      <c r="O164" s="84">
        <v>0</v>
      </c>
      <c r="P164" s="84">
        <v>0</v>
      </c>
      <c r="Q164" s="84">
        <v>0</v>
      </c>
      <c r="R164" s="84">
        <v>4</v>
      </c>
    </row>
    <row r="165" spans="1:18" x14ac:dyDescent="0.25">
      <c r="A165" s="43">
        <v>42232</v>
      </c>
      <c r="B165" s="47"/>
      <c r="C165" s="80" t="s">
        <v>69</v>
      </c>
      <c r="D165" s="84">
        <v>2</v>
      </c>
      <c r="E165" s="84">
        <v>7</v>
      </c>
      <c r="F165" s="85">
        <f t="shared" si="36"/>
        <v>0.2857142857142857</v>
      </c>
      <c r="G165" s="84">
        <v>0</v>
      </c>
      <c r="H165" s="84">
        <v>0</v>
      </c>
      <c r="I165" s="85">
        <f t="shared" si="37"/>
        <v>0</v>
      </c>
      <c r="J165" s="84">
        <v>0</v>
      </c>
      <c r="K165" s="84">
        <v>0</v>
      </c>
      <c r="L165" s="85">
        <f t="shared" si="38"/>
        <v>0</v>
      </c>
      <c r="M165" s="84">
        <v>8</v>
      </c>
      <c r="N165" s="84">
        <v>1</v>
      </c>
      <c r="O165" s="84">
        <v>1</v>
      </c>
      <c r="P165" s="84">
        <v>1</v>
      </c>
      <c r="Q165" s="84">
        <v>1</v>
      </c>
      <c r="R165" s="84">
        <v>4</v>
      </c>
    </row>
    <row r="166" spans="1:18" x14ac:dyDescent="0.25">
      <c r="A166" s="43">
        <v>42232</v>
      </c>
      <c r="B166" s="47"/>
      <c r="C166" s="80" t="s">
        <v>73</v>
      </c>
      <c r="D166" s="84">
        <v>4</v>
      </c>
      <c r="E166" s="84">
        <v>10</v>
      </c>
      <c r="F166" s="85">
        <f t="shared" si="36"/>
        <v>0.4</v>
      </c>
      <c r="G166" s="84">
        <v>0</v>
      </c>
      <c r="H166" s="84">
        <v>3</v>
      </c>
      <c r="I166" s="85">
        <f t="shared" si="37"/>
        <v>0</v>
      </c>
      <c r="J166" s="84">
        <v>0</v>
      </c>
      <c r="K166" s="84">
        <v>0</v>
      </c>
      <c r="L166" s="85">
        <f t="shared" si="38"/>
        <v>0</v>
      </c>
      <c r="M166" s="84">
        <v>1</v>
      </c>
      <c r="N166" s="84">
        <v>2</v>
      </c>
      <c r="O166" s="84">
        <v>0</v>
      </c>
      <c r="P166" s="84">
        <v>1</v>
      </c>
      <c r="Q166" s="84">
        <v>0</v>
      </c>
      <c r="R166" s="84">
        <v>8</v>
      </c>
    </row>
    <row r="167" spans="1:18" x14ac:dyDescent="0.25">
      <c r="A167" s="43">
        <v>42232</v>
      </c>
      <c r="B167" s="47"/>
      <c r="C167" s="80" t="s">
        <v>78</v>
      </c>
      <c r="D167" s="84">
        <v>0</v>
      </c>
      <c r="E167" s="84">
        <v>0</v>
      </c>
      <c r="F167" s="85">
        <f t="shared" si="36"/>
        <v>0</v>
      </c>
      <c r="G167" s="84">
        <v>0</v>
      </c>
      <c r="H167" s="84">
        <v>0</v>
      </c>
      <c r="I167" s="85">
        <f t="shared" si="37"/>
        <v>0</v>
      </c>
      <c r="J167" s="84">
        <v>3</v>
      </c>
      <c r="K167" s="84">
        <v>4</v>
      </c>
      <c r="L167" s="85">
        <f t="shared" si="38"/>
        <v>0.75</v>
      </c>
      <c r="M167" s="84">
        <v>2</v>
      </c>
      <c r="N167" s="84">
        <v>0</v>
      </c>
      <c r="O167" s="84">
        <v>0</v>
      </c>
      <c r="P167" s="84">
        <v>0</v>
      </c>
      <c r="Q167" s="84">
        <v>1</v>
      </c>
      <c r="R167" s="84">
        <v>3</v>
      </c>
    </row>
    <row r="168" spans="1:18" x14ac:dyDescent="0.25">
      <c r="A168" s="43">
        <v>42232</v>
      </c>
      <c r="B168" s="47"/>
      <c r="C168" s="22" t="s">
        <v>71</v>
      </c>
      <c r="D168" s="84">
        <v>4</v>
      </c>
      <c r="E168" s="84">
        <v>9</v>
      </c>
      <c r="F168" s="85">
        <f t="shared" si="36"/>
        <v>0.44444444444444442</v>
      </c>
      <c r="G168" s="84">
        <v>0</v>
      </c>
      <c r="H168" s="84">
        <v>0</v>
      </c>
      <c r="I168" s="85">
        <f t="shared" si="37"/>
        <v>0</v>
      </c>
      <c r="J168" s="84">
        <v>4</v>
      </c>
      <c r="K168" s="84">
        <v>4</v>
      </c>
      <c r="L168" s="85">
        <f t="shared" si="38"/>
        <v>1</v>
      </c>
      <c r="M168" s="84">
        <v>7</v>
      </c>
      <c r="N168" s="84">
        <v>1</v>
      </c>
      <c r="O168" s="84">
        <v>0</v>
      </c>
      <c r="P168" s="84">
        <v>2</v>
      </c>
      <c r="Q168" s="84">
        <v>0</v>
      </c>
      <c r="R168" s="84">
        <v>12</v>
      </c>
    </row>
    <row r="169" spans="1:18" x14ac:dyDescent="0.25">
      <c r="A169" s="43">
        <v>42232</v>
      </c>
      <c r="B169" s="47"/>
      <c r="C169" s="22" t="s">
        <v>30</v>
      </c>
      <c r="D169" s="84">
        <v>2</v>
      </c>
      <c r="E169" s="84">
        <v>8</v>
      </c>
      <c r="F169" s="85">
        <f t="shared" si="36"/>
        <v>0.25</v>
      </c>
      <c r="G169" s="84">
        <v>1</v>
      </c>
      <c r="H169" s="84">
        <v>5</v>
      </c>
      <c r="I169" s="85">
        <f t="shared" si="37"/>
        <v>0.2</v>
      </c>
      <c r="J169" s="84">
        <v>0</v>
      </c>
      <c r="K169" s="84">
        <v>0</v>
      </c>
      <c r="L169" s="85">
        <f t="shared" si="38"/>
        <v>0</v>
      </c>
      <c r="M169" s="84">
        <v>7</v>
      </c>
      <c r="N169" s="84">
        <v>5</v>
      </c>
      <c r="O169" s="84">
        <v>1</v>
      </c>
      <c r="P169" s="84">
        <v>0</v>
      </c>
      <c r="Q169" s="84">
        <v>1</v>
      </c>
      <c r="R169" s="84">
        <v>5</v>
      </c>
    </row>
    <row r="170" spans="1:18" x14ac:dyDescent="0.25">
      <c r="A170" s="71">
        <v>42234</v>
      </c>
      <c r="B170" s="20"/>
      <c r="C170" s="15" t="s">
        <v>71</v>
      </c>
      <c r="D170" s="16">
        <v>9</v>
      </c>
      <c r="E170" s="16">
        <v>13</v>
      </c>
      <c r="F170" s="96">
        <f t="shared" ref="F170:F184" si="39">IF(E170=0,0,D170/E170)</f>
        <v>0.69230769230769229</v>
      </c>
      <c r="G170" s="16">
        <v>0</v>
      </c>
      <c r="H170" s="16">
        <v>0</v>
      </c>
      <c r="I170" s="96">
        <f t="shared" ref="I170:I184" si="40">IF(H170=0,0,G170/H170)</f>
        <v>0</v>
      </c>
      <c r="J170" s="16">
        <v>0</v>
      </c>
      <c r="K170" s="16">
        <v>1</v>
      </c>
      <c r="L170" s="96">
        <f t="shared" ref="L170:L184" si="41">IF(K170=0,0,J170/K170)</f>
        <v>0</v>
      </c>
      <c r="M170" s="16">
        <v>4</v>
      </c>
      <c r="N170" s="16">
        <v>1</v>
      </c>
      <c r="O170" s="16">
        <v>0</v>
      </c>
      <c r="P170" s="16">
        <v>0</v>
      </c>
      <c r="Q170" s="16">
        <v>1</v>
      </c>
      <c r="R170" s="16">
        <v>18</v>
      </c>
    </row>
    <row r="171" spans="1:18" x14ac:dyDescent="0.25">
      <c r="A171" s="71">
        <v>42234</v>
      </c>
      <c r="B171" s="20"/>
      <c r="C171" s="15" t="s">
        <v>30</v>
      </c>
      <c r="D171" s="16">
        <v>2</v>
      </c>
      <c r="E171" s="16">
        <v>6</v>
      </c>
      <c r="F171" s="96">
        <f t="shared" si="39"/>
        <v>0.33333333333333331</v>
      </c>
      <c r="G171" s="16">
        <v>1</v>
      </c>
      <c r="H171" s="16">
        <v>3</v>
      </c>
      <c r="I171" s="96">
        <f t="shared" si="40"/>
        <v>0.33333333333333331</v>
      </c>
      <c r="J171" s="16">
        <v>4</v>
      </c>
      <c r="K171" s="16">
        <v>4</v>
      </c>
      <c r="L171" s="96">
        <f t="shared" si="41"/>
        <v>1</v>
      </c>
      <c r="M171" s="16">
        <v>8</v>
      </c>
      <c r="N171" s="16">
        <v>2</v>
      </c>
      <c r="O171" s="16">
        <v>1</v>
      </c>
      <c r="P171" s="16">
        <v>2</v>
      </c>
      <c r="Q171" s="16">
        <v>0</v>
      </c>
      <c r="R171" s="16">
        <v>9</v>
      </c>
    </row>
    <row r="172" spans="1:18" x14ac:dyDescent="0.25">
      <c r="A172" s="71">
        <v>42234</v>
      </c>
      <c r="B172" s="20"/>
      <c r="C172" s="15" t="s">
        <v>107</v>
      </c>
      <c r="D172" s="16">
        <v>1</v>
      </c>
      <c r="E172" s="16">
        <v>5</v>
      </c>
      <c r="F172" s="96">
        <f t="shared" si="39"/>
        <v>0.2</v>
      </c>
      <c r="G172" s="16">
        <v>1</v>
      </c>
      <c r="H172" s="16">
        <v>3</v>
      </c>
      <c r="I172" s="96">
        <f t="shared" si="40"/>
        <v>0.33333333333333331</v>
      </c>
      <c r="J172" s="16">
        <v>0</v>
      </c>
      <c r="K172" s="16">
        <v>0</v>
      </c>
      <c r="L172" s="96">
        <f t="shared" si="41"/>
        <v>0</v>
      </c>
      <c r="M172" s="16">
        <v>1</v>
      </c>
      <c r="N172" s="16">
        <v>2</v>
      </c>
      <c r="O172" s="16">
        <v>1</v>
      </c>
      <c r="P172" s="16">
        <v>1</v>
      </c>
      <c r="Q172" s="16">
        <v>0</v>
      </c>
      <c r="R172" s="16">
        <v>3</v>
      </c>
    </row>
    <row r="173" spans="1:18" x14ac:dyDescent="0.25">
      <c r="A173" s="71">
        <v>42235</v>
      </c>
      <c r="B173" s="20"/>
      <c r="C173" s="15" t="s">
        <v>70</v>
      </c>
      <c r="D173" s="16">
        <v>5</v>
      </c>
      <c r="E173" s="16">
        <v>14</v>
      </c>
      <c r="F173" s="96">
        <f t="shared" si="39"/>
        <v>0.35714285714285715</v>
      </c>
      <c r="G173" s="16">
        <v>1</v>
      </c>
      <c r="H173" s="16">
        <v>2</v>
      </c>
      <c r="I173" s="96">
        <f t="shared" si="40"/>
        <v>0.5</v>
      </c>
      <c r="J173" s="16">
        <v>0</v>
      </c>
      <c r="K173" s="16">
        <v>0</v>
      </c>
      <c r="L173" s="96">
        <f t="shared" si="41"/>
        <v>0</v>
      </c>
      <c r="M173" s="16">
        <v>2</v>
      </c>
      <c r="N173" s="16">
        <v>1</v>
      </c>
      <c r="O173" s="16">
        <v>0</v>
      </c>
      <c r="P173" s="16">
        <v>1</v>
      </c>
      <c r="Q173" s="16">
        <v>0</v>
      </c>
      <c r="R173" s="16">
        <v>11</v>
      </c>
    </row>
    <row r="174" spans="1:18" x14ac:dyDescent="0.25">
      <c r="A174" s="71">
        <v>42235</v>
      </c>
      <c r="B174" s="20"/>
      <c r="C174" s="6"/>
      <c r="D174" s="16">
        <v>1</v>
      </c>
      <c r="E174" s="16">
        <v>5</v>
      </c>
      <c r="F174" s="96">
        <f t="shared" si="39"/>
        <v>0.2</v>
      </c>
      <c r="G174" s="16">
        <v>0</v>
      </c>
      <c r="H174" s="16">
        <v>0</v>
      </c>
      <c r="I174" s="96">
        <f t="shared" si="40"/>
        <v>0</v>
      </c>
      <c r="J174" s="16">
        <v>0</v>
      </c>
      <c r="K174" s="16">
        <v>0</v>
      </c>
      <c r="L174" s="96">
        <f t="shared" si="41"/>
        <v>0</v>
      </c>
      <c r="M174" s="16">
        <v>2</v>
      </c>
      <c r="N174" s="16">
        <v>0</v>
      </c>
      <c r="O174" s="16">
        <v>0</v>
      </c>
      <c r="P174" s="16">
        <v>0</v>
      </c>
      <c r="Q174" s="16">
        <v>0</v>
      </c>
      <c r="R174" s="16">
        <v>2</v>
      </c>
    </row>
    <row r="175" spans="1:18" x14ac:dyDescent="0.25">
      <c r="A175" s="71">
        <v>42237</v>
      </c>
      <c r="B175" s="20"/>
      <c r="C175" s="15" t="s">
        <v>71</v>
      </c>
      <c r="D175" s="16">
        <v>7</v>
      </c>
      <c r="E175" s="16">
        <v>9</v>
      </c>
      <c r="F175" s="96">
        <f t="shared" si="39"/>
        <v>0.77777777777777779</v>
      </c>
      <c r="G175" s="16">
        <v>0</v>
      </c>
      <c r="H175" s="16">
        <v>0</v>
      </c>
      <c r="I175" s="96">
        <f t="shared" si="40"/>
        <v>0</v>
      </c>
      <c r="J175" s="16">
        <v>1</v>
      </c>
      <c r="K175" s="16">
        <v>2</v>
      </c>
      <c r="L175" s="96">
        <f t="shared" si="41"/>
        <v>0.5</v>
      </c>
      <c r="M175" s="16">
        <v>6</v>
      </c>
      <c r="N175" s="16">
        <v>0</v>
      </c>
      <c r="O175" s="16">
        <v>0</v>
      </c>
      <c r="P175" s="16">
        <v>4</v>
      </c>
      <c r="Q175" s="16">
        <v>0</v>
      </c>
      <c r="R175" s="16">
        <v>15</v>
      </c>
    </row>
    <row r="176" spans="1:18" x14ac:dyDescent="0.25">
      <c r="A176" s="71">
        <v>42237</v>
      </c>
      <c r="B176" s="20"/>
      <c r="C176" s="15" t="s">
        <v>69</v>
      </c>
      <c r="D176" s="16">
        <v>2</v>
      </c>
      <c r="E176" s="16">
        <v>3</v>
      </c>
      <c r="F176" s="96">
        <f t="shared" si="39"/>
        <v>0.66666666666666663</v>
      </c>
      <c r="G176" s="16">
        <v>0</v>
      </c>
      <c r="H176" s="16">
        <v>0</v>
      </c>
      <c r="I176" s="96">
        <f t="shared" si="40"/>
        <v>0</v>
      </c>
      <c r="J176" s="16">
        <v>0</v>
      </c>
      <c r="K176" s="16">
        <v>0</v>
      </c>
      <c r="L176" s="96">
        <f t="shared" si="41"/>
        <v>0</v>
      </c>
      <c r="M176" s="16">
        <v>7</v>
      </c>
      <c r="N176" s="16">
        <v>0</v>
      </c>
      <c r="O176" s="16">
        <v>0</v>
      </c>
      <c r="P176" s="16">
        <v>3</v>
      </c>
      <c r="Q176" s="16">
        <v>2</v>
      </c>
      <c r="R176" s="16">
        <v>4</v>
      </c>
    </row>
    <row r="177" spans="1:18" x14ac:dyDescent="0.25">
      <c r="A177" s="71">
        <v>42237</v>
      </c>
      <c r="B177" s="20"/>
      <c r="C177" s="15" t="s">
        <v>78</v>
      </c>
      <c r="D177" s="16">
        <v>3</v>
      </c>
      <c r="E177" s="16">
        <v>3</v>
      </c>
      <c r="F177" s="96">
        <f t="shared" si="39"/>
        <v>1</v>
      </c>
      <c r="G177" s="16">
        <v>0</v>
      </c>
      <c r="H177" s="16">
        <v>0</v>
      </c>
      <c r="I177" s="96">
        <f t="shared" si="40"/>
        <v>0</v>
      </c>
      <c r="J177" s="16">
        <v>0</v>
      </c>
      <c r="K177" s="16">
        <v>0</v>
      </c>
      <c r="L177" s="96">
        <f t="shared" si="41"/>
        <v>0</v>
      </c>
      <c r="M177" s="16">
        <v>4</v>
      </c>
      <c r="N177" s="16">
        <v>1</v>
      </c>
      <c r="O177" s="16">
        <v>0</v>
      </c>
      <c r="P177" s="16">
        <v>0</v>
      </c>
      <c r="Q177" s="16">
        <v>0</v>
      </c>
      <c r="R177" s="16">
        <v>6</v>
      </c>
    </row>
    <row r="178" spans="1:18" x14ac:dyDescent="0.25">
      <c r="A178" s="71">
        <v>42237</v>
      </c>
      <c r="B178" s="20"/>
      <c r="C178" s="15" t="s">
        <v>73</v>
      </c>
      <c r="D178" s="16">
        <v>8</v>
      </c>
      <c r="E178" s="16">
        <v>13</v>
      </c>
      <c r="F178" s="96">
        <f t="shared" si="39"/>
        <v>0.61538461538461542</v>
      </c>
      <c r="G178" s="16">
        <v>1</v>
      </c>
      <c r="H178" s="16">
        <v>2</v>
      </c>
      <c r="I178" s="96">
        <f t="shared" si="40"/>
        <v>0.5</v>
      </c>
      <c r="J178" s="16">
        <v>3</v>
      </c>
      <c r="K178" s="16">
        <v>3</v>
      </c>
      <c r="L178" s="96">
        <f t="shared" si="41"/>
        <v>1</v>
      </c>
      <c r="M178" s="16">
        <v>2</v>
      </c>
      <c r="N178" s="16">
        <v>3</v>
      </c>
      <c r="O178" s="16">
        <v>0</v>
      </c>
      <c r="P178" s="16">
        <v>3</v>
      </c>
      <c r="Q178" s="16">
        <v>0</v>
      </c>
      <c r="R178" s="16">
        <v>20</v>
      </c>
    </row>
    <row r="179" spans="1:18" x14ac:dyDescent="0.25">
      <c r="A179" s="71">
        <v>42237</v>
      </c>
      <c r="B179" s="20"/>
      <c r="C179" s="15" t="s">
        <v>30</v>
      </c>
      <c r="D179" s="16">
        <v>6</v>
      </c>
      <c r="E179" s="16">
        <v>11</v>
      </c>
      <c r="F179" s="96">
        <f t="shared" si="39"/>
        <v>0.54545454545454541</v>
      </c>
      <c r="G179" s="16">
        <v>2</v>
      </c>
      <c r="H179" s="16">
        <v>3</v>
      </c>
      <c r="I179" s="96">
        <f t="shared" si="40"/>
        <v>0.66666666666666663</v>
      </c>
      <c r="J179" s="16">
        <v>2</v>
      </c>
      <c r="K179" s="16">
        <v>4</v>
      </c>
      <c r="L179" s="96">
        <f t="shared" si="41"/>
        <v>0.5</v>
      </c>
      <c r="M179" s="16">
        <v>5</v>
      </c>
      <c r="N179" s="16">
        <v>3</v>
      </c>
      <c r="O179" s="16">
        <v>0</v>
      </c>
      <c r="P179" s="16">
        <v>0</v>
      </c>
      <c r="Q179" s="16">
        <v>0</v>
      </c>
      <c r="R179" s="16">
        <v>16</v>
      </c>
    </row>
    <row r="180" spans="1:18" x14ac:dyDescent="0.25">
      <c r="A180" s="21">
        <v>42239</v>
      </c>
      <c r="B180" s="20"/>
      <c r="C180" s="15" t="s">
        <v>30</v>
      </c>
      <c r="D180" s="16">
        <v>4</v>
      </c>
      <c r="E180" s="16">
        <v>8</v>
      </c>
      <c r="F180" s="96">
        <f t="shared" si="39"/>
        <v>0.5</v>
      </c>
      <c r="G180" s="16">
        <v>1</v>
      </c>
      <c r="H180" s="16">
        <v>3</v>
      </c>
      <c r="I180" s="96">
        <f t="shared" si="40"/>
        <v>0.33333333333333331</v>
      </c>
      <c r="J180" s="16">
        <v>1</v>
      </c>
      <c r="K180" s="16">
        <v>2</v>
      </c>
      <c r="L180" s="96">
        <f t="shared" si="41"/>
        <v>0.5</v>
      </c>
      <c r="M180" s="16">
        <v>3</v>
      </c>
      <c r="N180" s="16">
        <v>4</v>
      </c>
      <c r="O180" s="16">
        <v>0</v>
      </c>
      <c r="P180" s="16">
        <v>3</v>
      </c>
      <c r="Q180" s="16">
        <v>1</v>
      </c>
      <c r="R180" s="16">
        <v>10</v>
      </c>
    </row>
    <row r="181" spans="1:18" x14ac:dyDescent="0.25">
      <c r="A181" s="21">
        <v>42239</v>
      </c>
      <c r="B181" s="20"/>
      <c r="C181" s="15" t="s">
        <v>71</v>
      </c>
      <c r="D181" s="16">
        <v>3</v>
      </c>
      <c r="E181" s="16">
        <v>8</v>
      </c>
      <c r="F181" s="96">
        <f t="shared" si="39"/>
        <v>0.375</v>
      </c>
      <c r="G181" s="16">
        <v>0</v>
      </c>
      <c r="H181" s="16">
        <v>0</v>
      </c>
      <c r="I181" s="96">
        <f t="shared" si="40"/>
        <v>0</v>
      </c>
      <c r="J181" s="16">
        <v>3</v>
      </c>
      <c r="K181" s="16">
        <v>3</v>
      </c>
      <c r="L181" s="96">
        <f t="shared" si="41"/>
        <v>1</v>
      </c>
      <c r="M181" s="16">
        <v>6</v>
      </c>
      <c r="N181" s="16">
        <v>1</v>
      </c>
      <c r="O181" s="16">
        <v>0</v>
      </c>
      <c r="P181" s="16">
        <v>1</v>
      </c>
      <c r="Q181" s="16">
        <v>0</v>
      </c>
      <c r="R181" s="16">
        <v>9</v>
      </c>
    </row>
    <row r="182" spans="1:18" x14ac:dyDescent="0.25">
      <c r="A182" s="21">
        <v>42239</v>
      </c>
      <c r="B182" s="20"/>
      <c r="C182" s="15" t="s">
        <v>78</v>
      </c>
      <c r="D182" s="16">
        <v>0</v>
      </c>
      <c r="E182" s="16">
        <v>0</v>
      </c>
      <c r="F182" s="96">
        <f t="shared" si="39"/>
        <v>0</v>
      </c>
      <c r="G182" s="16">
        <v>0</v>
      </c>
      <c r="H182" s="16">
        <v>0</v>
      </c>
      <c r="I182" s="96">
        <f t="shared" si="40"/>
        <v>0</v>
      </c>
      <c r="J182" s="16">
        <v>0</v>
      </c>
      <c r="K182" s="16">
        <v>0</v>
      </c>
      <c r="L182" s="96">
        <f t="shared" si="41"/>
        <v>0</v>
      </c>
      <c r="M182" s="16">
        <v>1</v>
      </c>
      <c r="N182" s="16">
        <v>0</v>
      </c>
      <c r="O182" s="16">
        <v>1</v>
      </c>
      <c r="P182" s="16">
        <v>1</v>
      </c>
      <c r="Q182" s="16">
        <v>0</v>
      </c>
      <c r="R182" s="16">
        <v>0</v>
      </c>
    </row>
    <row r="183" spans="1:18" x14ac:dyDescent="0.25">
      <c r="A183" s="21">
        <v>42239</v>
      </c>
      <c r="B183" s="20"/>
      <c r="C183" s="15" t="s">
        <v>73</v>
      </c>
      <c r="D183" s="16">
        <v>7</v>
      </c>
      <c r="E183" s="16">
        <v>16</v>
      </c>
      <c r="F183" s="96">
        <f t="shared" si="39"/>
        <v>0.4375</v>
      </c>
      <c r="G183" s="16">
        <v>1</v>
      </c>
      <c r="H183" s="16">
        <v>3</v>
      </c>
      <c r="I183" s="96">
        <f t="shared" si="40"/>
        <v>0.33333333333333331</v>
      </c>
      <c r="J183" s="16">
        <v>0</v>
      </c>
      <c r="K183" s="16">
        <v>2</v>
      </c>
      <c r="L183" s="96">
        <f t="shared" si="41"/>
        <v>0</v>
      </c>
      <c r="M183" s="16">
        <v>1</v>
      </c>
      <c r="N183" s="16">
        <v>0</v>
      </c>
      <c r="O183" s="16">
        <v>0</v>
      </c>
      <c r="P183" s="16">
        <v>2</v>
      </c>
      <c r="Q183" s="16">
        <v>1</v>
      </c>
      <c r="R183" s="16">
        <v>15</v>
      </c>
    </row>
    <row r="184" spans="1:18" x14ac:dyDescent="0.25">
      <c r="A184" s="21">
        <v>42239</v>
      </c>
      <c r="B184" s="20"/>
      <c r="C184" s="15" t="s">
        <v>69</v>
      </c>
      <c r="D184" s="16">
        <v>1</v>
      </c>
      <c r="E184" s="16">
        <v>2</v>
      </c>
      <c r="F184" s="96">
        <f t="shared" si="39"/>
        <v>0.5</v>
      </c>
      <c r="G184" s="16">
        <v>0</v>
      </c>
      <c r="H184" s="16">
        <v>0</v>
      </c>
      <c r="I184" s="96">
        <f t="shared" si="40"/>
        <v>0</v>
      </c>
      <c r="J184" s="16">
        <v>2</v>
      </c>
      <c r="K184" s="16">
        <v>5</v>
      </c>
      <c r="L184" s="96">
        <f t="shared" si="41"/>
        <v>0.4</v>
      </c>
      <c r="M184" s="16">
        <v>4</v>
      </c>
      <c r="N184" s="16">
        <v>0</v>
      </c>
      <c r="O184" s="16">
        <v>0</v>
      </c>
      <c r="P184" s="16">
        <v>1</v>
      </c>
      <c r="Q184" s="16">
        <v>0</v>
      </c>
      <c r="R184" s="16">
        <v>4</v>
      </c>
    </row>
    <row r="185" spans="1:18" s="10" customFormat="1" x14ac:dyDescent="0.25">
      <c r="A185" s="71">
        <v>42242</v>
      </c>
      <c r="B185" s="20"/>
      <c r="C185" s="15" t="s">
        <v>30</v>
      </c>
      <c r="D185" s="16">
        <v>7</v>
      </c>
      <c r="E185" s="16">
        <v>11</v>
      </c>
      <c r="F185" s="98">
        <f t="shared" ref="F185:F200" si="42">IF(E185=0,0,D185/E185)</f>
        <v>0.63636363636363635</v>
      </c>
      <c r="G185" s="16">
        <v>1</v>
      </c>
      <c r="H185" s="16">
        <v>3</v>
      </c>
      <c r="I185" s="98">
        <f t="shared" ref="I185:I200" si="43">IF(H185=0,0,G185/H185)</f>
        <v>0.33333333333333331</v>
      </c>
      <c r="J185" s="16">
        <v>1</v>
      </c>
      <c r="K185" s="16">
        <v>1</v>
      </c>
      <c r="L185" s="98">
        <f t="shared" ref="L185:L200" si="44">IF(K185=0,0,J185/K185)</f>
        <v>1</v>
      </c>
      <c r="M185" s="16">
        <v>4</v>
      </c>
      <c r="N185" s="16">
        <v>2</v>
      </c>
      <c r="O185" s="16">
        <v>0</v>
      </c>
      <c r="P185" s="16">
        <v>3</v>
      </c>
      <c r="Q185" s="16">
        <v>0</v>
      </c>
      <c r="R185" s="16">
        <v>16</v>
      </c>
    </row>
    <row r="186" spans="1:18" s="10" customFormat="1" x14ac:dyDescent="0.25">
      <c r="A186" s="71">
        <v>42242</v>
      </c>
      <c r="B186" s="20"/>
      <c r="C186" s="15" t="s">
        <v>107</v>
      </c>
      <c r="D186" s="16">
        <v>1</v>
      </c>
      <c r="E186" s="16">
        <v>5</v>
      </c>
      <c r="F186" s="98">
        <f t="shared" si="42"/>
        <v>0.2</v>
      </c>
      <c r="G186" s="16">
        <v>1</v>
      </c>
      <c r="H186" s="16">
        <v>4</v>
      </c>
      <c r="I186" s="98">
        <f t="shared" si="43"/>
        <v>0.25</v>
      </c>
      <c r="J186" s="16">
        <v>6</v>
      </c>
      <c r="K186" s="16">
        <v>8</v>
      </c>
      <c r="L186" s="98">
        <f t="shared" si="44"/>
        <v>0.75</v>
      </c>
      <c r="M186" s="16">
        <v>6</v>
      </c>
      <c r="N186" s="16">
        <v>5</v>
      </c>
      <c r="O186" s="16">
        <v>0</v>
      </c>
      <c r="P186" s="16">
        <v>1</v>
      </c>
      <c r="Q186" s="16">
        <v>0</v>
      </c>
      <c r="R186" s="16">
        <v>9</v>
      </c>
    </row>
    <row r="187" spans="1:18" s="10" customFormat="1" x14ac:dyDescent="0.25">
      <c r="A187" s="71">
        <v>42243</v>
      </c>
      <c r="B187" s="20"/>
      <c r="C187" s="15" t="s">
        <v>71</v>
      </c>
      <c r="D187" s="16">
        <v>2</v>
      </c>
      <c r="E187" s="16">
        <v>5</v>
      </c>
      <c r="F187" s="98">
        <f t="shared" si="42"/>
        <v>0.4</v>
      </c>
      <c r="G187" s="16">
        <v>0</v>
      </c>
      <c r="H187" s="16">
        <v>0</v>
      </c>
      <c r="I187" s="98">
        <f t="shared" si="43"/>
        <v>0</v>
      </c>
      <c r="J187" s="16">
        <v>0</v>
      </c>
      <c r="K187" s="16">
        <v>0</v>
      </c>
      <c r="L187" s="98">
        <f t="shared" si="44"/>
        <v>0</v>
      </c>
      <c r="M187" s="16">
        <v>3</v>
      </c>
      <c r="N187" s="16">
        <v>1</v>
      </c>
      <c r="O187" s="16">
        <v>0</v>
      </c>
      <c r="P187" s="16">
        <v>0</v>
      </c>
      <c r="Q187" s="16">
        <v>0</v>
      </c>
      <c r="R187" s="16">
        <v>4</v>
      </c>
    </row>
    <row r="188" spans="1:18" s="10" customFormat="1" x14ac:dyDescent="0.25">
      <c r="A188" s="71">
        <v>42244</v>
      </c>
      <c r="B188" s="20"/>
      <c r="C188" s="15" t="s">
        <v>71</v>
      </c>
      <c r="D188" s="16">
        <v>3</v>
      </c>
      <c r="E188" s="16">
        <v>7</v>
      </c>
      <c r="F188" s="98">
        <f t="shared" si="42"/>
        <v>0.42857142857142855</v>
      </c>
      <c r="G188" s="16">
        <v>0</v>
      </c>
      <c r="H188" s="16">
        <v>0</v>
      </c>
      <c r="I188" s="98">
        <f t="shared" si="43"/>
        <v>0</v>
      </c>
      <c r="J188" s="16">
        <v>1</v>
      </c>
      <c r="K188" s="16">
        <v>2</v>
      </c>
      <c r="L188" s="98">
        <f t="shared" si="44"/>
        <v>0.5</v>
      </c>
      <c r="M188" s="16">
        <v>2</v>
      </c>
      <c r="N188" s="16">
        <v>2</v>
      </c>
      <c r="O188" s="16">
        <v>0</v>
      </c>
      <c r="P188" s="16">
        <v>3</v>
      </c>
      <c r="Q188" s="16">
        <v>0</v>
      </c>
      <c r="R188" s="16">
        <v>7</v>
      </c>
    </row>
    <row r="189" spans="1:18" s="10" customFormat="1" x14ac:dyDescent="0.25">
      <c r="A189" s="71">
        <v>42244</v>
      </c>
      <c r="B189" s="20"/>
      <c r="C189" s="15" t="s">
        <v>30</v>
      </c>
      <c r="D189" s="16">
        <v>6</v>
      </c>
      <c r="E189" s="16">
        <v>10</v>
      </c>
      <c r="F189" s="98">
        <f t="shared" si="42"/>
        <v>0.6</v>
      </c>
      <c r="G189" s="16">
        <v>3</v>
      </c>
      <c r="H189" s="16">
        <v>4</v>
      </c>
      <c r="I189" s="98">
        <f t="shared" si="43"/>
        <v>0.75</v>
      </c>
      <c r="J189" s="16">
        <v>4</v>
      </c>
      <c r="K189" s="16">
        <v>4</v>
      </c>
      <c r="L189" s="98">
        <f t="shared" si="44"/>
        <v>1</v>
      </c>
      <c r="M189" s="16">
        <v>5</v>
      </c>
      <c r="N189" s="16">
        <v>1</v>
      </c>
      <c r="O189" s="16">
        <v>0</v>
      </c>
      <c r="P189" s="16">
        <v>5</v>
      </c>
      <c r="Q189" s="16">
        <v>0</v>
      </c>
      <c r="R189" s="16">
        <v>19</v>
      </c>
    </row>
    <row r="190" spans="1:18" s="10" customFormat="1" x14ac:dyDescent="0.25">
      <c r="A190" s="71">
        <v>42244</v>
      </c>
      <c r="B190" s="20"/>
      <c r="C190" s="15" t="s">
        <v>107</v>
      </c>
      <c r="D190" s="16">
        <v>2</v>
      </c>
      <c r="E190" s="16">
        <v>3</v>
      </c>
      <c r="F190" s="98">
        <f t="shared" si="42"/>
        <v>0.66666666666666663</v>
      </c>
      <c r="G190" s="16">
        <v>1</v>
      </c>
      <c r="H190" s="16">
        <v>1</v>
      </c>
      <c r="I190" s="98">
        <f t="shared" si="43"/>
        <v>1</v>
      </c>
      <c r="J190" s="16">
        <v>0</v>
      </c>
      <c r="K190" s="16">
        <v>0</v>
      </c>
      <c r="L190" s="98">
        <f t="shared" si="44"/>
        <v>0</v>
      </c>
      <c r="M190" s="16">
        <v>0</v>
      </c>
      <c r="N190" s="16">
        <v>1</v>
      </c>
      <c r="O190" s="16">
        <v>0</v>
      </c>
      <c r="P190" s="16">
        <v>2</v>
      </c>
      <c r="Q190" s="16">
        <v>0</v>
      </c>
      <c r="R190" s="16">
        <v>5</v>
      </c>
    </row>
    <row r="191" spans="1:18" s="10" customFormat="1" x14ac:dyDescent="0.25">
      <c r="A191" s="71">
        <v>42244</v>
      </c>
      <c r="B191" s="20"/>
      <c r="C191" s="15" t="s">
        <v>108</v>
      </c>
      <c r="D191" s="16">
        <v>2</v>
      </c>
      <c r="E191" s="16">
        <v>11</v>
      </c>
      <c r="F191" s="98">
        <f t="shared" si="42"/>
        <v>0.18181818181818182</v>
      </c>
      <c r="G191" s="16">
        <v>0</v>
      </c>
      <c r="H191" s="16">
        <v>1</v>
      </c>
      <c r="I191" s="98">
        <f t="shared" si="43"/>
        <v>0</v>
      </c>
      <c r="J191" s="16">
        <v>3</v>
      </c>
      <c r="K191" s="16">
        <v>4</v>
      </c>
      <c r="L191" s="98">
        <f t="shared" si="44"/>
        <v>0.75</v>
      </c>
      <c r="M191" s="16">
        <v>2</v>
      </c>
      <c r="N191" s="16">
        <v>2</v>
      </c>
      <c r="O191" s="16">
        <v>1</v>
      </c>
      <c r="P191" s="16">
        <v>1</v>
      </c>
      <c r="Q191" s="16">
        <v>1</v>
      </c>
      <c r="R191" s="16">
        <v>7</v>
      </c>
    </row>
    <row r="192" spans="1:18" x14ac:dyDescent="0.25">
      <c r="A192" s="21">
        <v>42245</v>
      </c>
      <c r="B192" s="20"/>
      <c r="C192" s="20" t="s">
        <v>69</v>
      </c>
      <c r="D192" s="99">
        <v>5</v>
      </c>
      <c r="E192" s="99">
        <v>7</v>
      </c>
      <c r="F192" s="98">
        <f t="shared" si="42"/>
        <v>0.7142857142857143</v>
      </c>
      <c r="G192" s="99">
        <v>0</v>
      </c>
      <c r="H192" s="99">
        <v>0</v>
      </c>
      <c r="I192" s="98">
        <f t="shared" si="43"/>
        <v>0</v>
      </c>
      <c r="J192" s="99">
        <v>2</v>
      </c>
      <c r="K192" s="99">
        <v>3</v>
      </c>
      <c r="L192" s="98">
        <f t="shared" si="44"/>
        <v>0.66666666666666663</v>
      </c>
      <c r="M192" s="99">
        <v>7</v>
      </c>
      <c r="N192" s="99">
        <v>0</v>
      </c>
      <c r="O192" s="99">
        <v>0</v>
      </c>
      <c r="P192" s="99">
        <v>0</v>
      </c>
      <c r="Q192" s="99">
        <v>1</v>
      </c>
      <c r="R192" s="99">
        <v>12</v>
      </c>
    </row>
    <row r="193" spans="1:18" x14ac:dyDescent="0.25">
      <c r="A193" s="21">
        <v>42245</v>
      </c>
      <c r="B193" s="20"/>
      <c r="C193" s="20" t="s">
        <v>78</v>
      </c>
      <c r="D193" s="99">
        <v>3</v>
      </c>
      <c r="E193" s="99">
        <v>6</v>
      </c>
      <c r="F193" s="98">
        <f t="shared" si="42"/>
        <v>0.5</v>
      </c>
      <c r="G193" s="99">
        <v>0</v>
      </c>
      <c r="H193" s="99">
        <v>0</v>
      </c>
      <c r="I193" s="98">
        <f t="shared" si="43"/>
        <v>0</v>
      </c>
      <c r="J193" s="99">
        <v>4</v>
      </c>
      <c r="K193" s="99">
        <v>5</v>
      </c>
      <c r="L193" s="98">
        <f t="shared" si="44"/>
        <v>0.8</v>
      </c>
      <c r="M193" s="99">
        <v>4</v>
      </c>
      <c r="N193" s="99">
        <v>2</v>
      </c>
      <c r="O193" s="99">
        <v>0</v>
      </c>
      <c r="P193" s="99">
        <v>3</v>
      </c>
      <c r="Q193" s="99">
        <v>0</v>
      </c>
      <c r="R193" s="99">
        <v>10</v>
      </c>
    </row>
    <row r="194" spans="1:18" x14ac:dyDescent="0.25">
      <c r="A194" s="21">
        <v>42245</v>
      </c>
      <c r="B194" s="20"/>
      <c r="C194" s="20" t="s">
        <v>73</v>
      </c>
      <c r="D194" s="99">
        <v>4</v>
      </c>
      <c r="E194" s="99">
        <v>10</v>
      </c>
      <c r="F194" s="98">
        <f t="shared" si="42"/>
        <v>0.4</v>
      </c>
      <c r="G194" s="99">
        <v>3</v>
      </c>
      <c r="H194" s="99">
        <v>6</v>
      </c>
      <c r="I194" s="98">
        <f t="shared" si="43"/>
        <v>0.5</v>
      </c>
      <c r="J194" s="99">
        <v>1</v>
      </c>
      <c r="K194" s="99">
        <v>1</v>
      </c>
      <c r="L194" s="98">
        <f t="shared" si="44"/>
        <v>1</v>
      </c>
      <c r="M194" s="99">
        <v>1</v>
      </c>
      <c r="N194" s="99">
        <v>2</v>
      </c>
      <c r="O194" s="99">
        <v>0</v>
      </c>
      <c r="P194" s="99">
        <v>1</v>
      </c>
      <c r="Q194" s="99">
        <v>0</v>
      </c>
      <c r="R194" s="99">
        <v>12</v>
      </c>
    </row>
    <row r="195" spans="1:18" x14ac:dyDescent="0.25">
      <c r="A195" s="71">
        <v>42246</v>
      </c>
      <c r="B195" s="20"/>
      <c r="C195" s="15" t="s">
        <v>71</v>
      </c>
      <c r="D195" s="16">
        <v>6</v>
      </c>
      <c r="E195" s="16">
        <v>12</v>
      </c>
      <c r="F195" s="98">
        <f t="shared" si="42"/>
        <v>0.5</v>
      </c>
      <c r="G195" s="16">
        <v>0</v>
      </c>
      <c r="H195" s="16">
        <v>0</v>
      </c>
      <c r="I195" s="98">
        <f t="shared" si="43"/>
        <v>0</v>
      </c>
      <c r="J195" s="16">
        <v>2</v>
      </c>
      <c r="K195" s="16">
        <v>4</v>
      </c>
      <c r="L195" s="98">
        <f t="shared" si="44"/>
        <v>0.5</v>
      </c>
      <c r="M195" s="16">
        <v>8</v>
      </c>
      <c r="N195" s="16">
        <v>3</v>
      </c>
      <c r="O195" s="16">
        <v>2</v>
      </c>
      <c r="P195" s="16">
        <v>2</v>
      </c>
      <c r="Q195" s="16">
        <v>0</v>
      </c>
      <c r="R195" s="16">
        <v>14</v>
      </c>
    </row>
    <row r="196" spans="1:18" x14ac:dyDescent="0.25">
      <c r="A196" s="71">
        <v>42246</v>
      </c>
      <c r="B196" s="20"/>
      <c r="C196" s="15" t="s">
        <v>69</v>
      </c>
      <c r="D196" s="16">
        <v>2</v>
      </c>
      <c r="E196" s="16">
        <v>6</v>
      </c>
      <c r="F196" s="98">
        <f t="shared" si="42"/>
        <v>0.33333333333333331</v>
      </c>
      <c r="G196" s="16">
        <v>0</v>
      </c>
      <c r="H196" s="16">
        <v>0</v>
      </c>
      <c r="I196" s="98">
        <f t="shared" si="43"/>
        <v>0</v>
      </c>
      <c r="J196" s="16">
        <v>2</v>
      </c>
      <c r="K196" s="16">
        <v>2</v>
      </c>
      <c r="L196" s="98">
        <f t="shared" si="44"/>
        <v>1</v>
      </c>
      <c r="M196" s="16">
        <v>5</v>
      </c>
      <c r="N196" s="16">
        <v>0</v>
      </c>
      <c r="O196" s="16">
        <v>0</v>
      </c>
      <c r="P196" s="16">
        <v>0</v>
      </c>
      <c r="Q196" s="16">
        <v>0</v>
      </c>
      <c r="R196" s="16">
        <v>6</v>
      </c>
    </row>
    <row r="197" spans="1:18" x14ac:dyDescent="0.25">
      <c r="A197" s="71">
        <v>42246</v>
      </c>
      <c r="B197" s="20"/>
      <c r="C197" s="15" t="s">
        <v>73</v>
      </c>
      <c r="D197" s="16">
        <v>4</v>
      </c>
      <c r="E197" s="16">
        <v>14</v>
      </c>
      <c r="F197" s="98">
        <f t="shared" si="42"/>
        <v>0.2857142857142857</v>
      </c>
      <c r="G197" s="16">
        <v>0</v>
      </c>
      <c r="H197" s="16">
        <v>4</v>
      </c>
      <c r="I197" s="98">
        <f t="shared" si="43"/>
        <v>0</v>
      </c>
      <c r="J197" s="16">
        <v>1</v>
      </c>
      <c r="K197" s="16">
        <v>2</v>
      </c>
      <c r="L197" s="98">
        <f t="shared" si="44"/>
        <v>0.5</v>
      </c>
      <c r="M197" s="16">
        <v>3</v>
      </c>
      <c r="N197" s="16">
        <v>4</v>
      </c>
      <c r="O197" s="16">
        <v>2</v>
      </c>
      <c r="P197" s="16">
        <v>3</v>
      </c>
      <c r="Q197" s="16">
        <v>1</v>
      </c>
      <c r="R197" s="16">
        <v>9</v>
      </c>
    </row>
    <row r="198" spans="1:18" x14ac:dyDescent="0.25">
      <c r="A198" s="71">
        <v>42246</v>
      </c>
      <c r="B198" s="20"/>
      <c r="C198" s="15" t="s">
        <v>107</v>
      </c>
      <c r="D198" s="16">
        <v>3</v>
      </c>
      <c r="E198" s="16">
        <v>8</v>
      </c>
      <c r="F198" s="98">
        <f t="shared" si="42"/>
        <v>0.375</v>
      </c>
      <c r="G198" s="16">
        <v>0</v>
      </c>
      <c r="H198" s="16">
        <v>0</v>
      </c>
      <c r="I198" s="98">
        <f t="shared" si="43"/>
        <v>0</v>
      </c>
      <c r="J198" s="16">
        <v>0</v>
      </c>
      <c r="K198" s="16">
        <v>0</v>
      </c>
      <c r="L198" s="98">
        <f t="shared" si="44"/>
        <v>0</v>
      </c>
      <c r="M198" s="16">
        <v>2</v>
      </c>
      <c r="N198" s="16">
        <v>1</v>
      </c>
      <c r="O198" s="16">
        <v>0</v>
      </c>
      <c r="P198" s="16">
        <v>2</v>
      </c>
      <c r="Q198" s="16">
        <v>1</v>
      </c>
      <c r="R198" s="16">
        <v>6</v>
      </c>
    </row>
    <row r="199" spans="1:18" x14ac:dyDescent="0.25">
      <c r="A199" s="71">
        <v>42246</v>
      </c>
      <c r="B199" s="20"/>
      <c r="C199" s="15" t="s">
        <v>30</v>
      </c>
      <c r="D199" s="16">
        <v>4</v>
      </c>
      <c r="E199" s="16">
        <v>11</v>
      </c>
      <c r="F199" s="98">
        <f t="shared" si="42"/>
        <v>0.36363636363636365</v>
      </c>
      <c r="G199" s="16">
        <v>1</v>
      </c>
      <c r="H199" s="16">
        <v>2</v>
      </c>
      <c r="I199" s="98">
        <f t="shared" si="43"/>
        <v>0.5</v>
      </c>
      <c r="J199" s="16">
        <v>0</v>
      </c>
      <c r="K199" s="16">
        <v>1</v>
      </c>
      <c r="L199" s="98">
        <f t="shared" si="44"/>
        <v>0</v>
      </c>
      <c r="M199" s="16">
        <v>4</v>
      </c>
      <c r="N199" s="16">
        <v>6</v>
      </c>
      <c r="O199" s="16">
        <v>1</v>
      </c>
      <c r="P199" s="16">
        <v>3</v>
      </c>
      <c r="Q199" s="16">
        <v>0</v>
      </c>
      <c r="R199" s="16">
        <v>9</v>
      </c>
    </row>
    <row r="200" spans="1:18" x14ac:dyDescent="0.25">
      <c r="A200" s="71">
        <v>42246</v>
      </c>
      <c r="B200" s="20"/>
      <c r="C200" s="15" t="s">
        <v>78</v>
      </c>
      <c r="D200" s="16">
        <v>3</v>
      </c>
      <c r="E200" s="16">
        <v>9</v>
      </c>
      <c r="F200" s="98">
        <f t="shared" si="42"/>
        <v>0.33333333333333331</v>
      </c>
      <c r="G200" s="16">
        <v>0</v>
      </c>
      <c r="H200" s="16">
        <v>0</v>
      </c>
      <c r="I200" s="98">
        <f t="shared" si="43"/>
        <v>0</v>
      </c>
      <c r="J200" s="16">
        <v>4</v>
      </c>
      <c r="K200" s="16">
        <v>4</v>
      </c>
      <c r="L200" s="98">
        <f t="shared" si="44"/>
        <v>1</v>
      </c>
      <c r="M200" s="16">
        <v>2</v>
      </c>
      <c r="N200" s="16">
        <v>4</v>
      </c>
      <c r="O200" s="16">
        <v>0</v>
      </c>
      <c r="P200" s="16">
        <v>0</v>
      </c>
      <c r="Q200" s="16">
        <v>0</v>
      </c>
      <c r="R200" s="16">
        <v>10</v>
      </c>
    </row>
    <row r="201" spans="1:18" x14ac:dyDescent="0.25">
      <c r="A201" s="71">
        <v>42248</v>
      </c>
      <c r="B201" s="20"/>
      <c r="C201" s="15" t="s">
        <v>30</v>
      </c>
      <c r="D201" s="16">
        <v>2</v>
      </c>
      <c r="E201" s="16">
        <v>5</v>
      </c>
      <c r="F201" s="100">
        <f t="shared" ref="F201:F209" si="45">IF(E201=0,0,D201/E201)</f>
        <v>0.4</v>
      </c>
      <c r="G201" s="16">
        <v>0</v>
      </c>
      <c r="H201" s="16">
        <v>1</v>
      </c>
      <c r="I201" s="100">
        <f t="shared" ref="I201:I209" si="46">IF(H201=0,0,G201/H201)</f>
        <v>0</v>
      </c>
      <c r="J201" s="16">
        <v>1</v>
      </c>
      <c r="K201" s="16">
        <v>1</v>
      </c>
      <c r="L201" s="100">
        <f t="shared" ref="L201:L209" si="47">IF(K201=0,0,J201/K201)</f>
        <v>1</v>
      </c>
      <c r="M201" s="16">
        <v>3</v>
      </c>
      <c r="N201" s="16">
        <v>1</v>
      </c>
      <c r="O201" s="16">
        <v>2</v>
      </c>
      <c r="P201" s="16">
        <v>1</v>
      </c>
      <c r="Q201" s="16">
        <v>0</v>
      </c>
      <c r="R201" s="16">
        <v>5</v>
      </c>
    </row>
    <row r="202" spans="1:18" x14ac:dyDescent="0.25">
      <c r="A202" s="71">
        <v>42248</v>
      </c>
      <c r="B202" s="20"/>
      <c r="C202" s="15" t="s">
        <v>107</v>
      </c>
      <c r="D202" s="16">
        <v>2</v>
      </c>
      <c r="E202" s="16">
        <v>5</v>
      </c>
      <c r="F202" s="100">
        <f t="shared" si="45"/>
        <v>0.4</v>
      </c>
      <c r="G202" s="16">
        <v>0</v>
      </c>
      <c r="H202" s="16">
        <v>1</v>
      </c>
      <c r="I202" s="100">
        <f t="shared" si="46"/>
        <v>0</v>
      </c>
      <c r="J202" s="16">
        <v>0</v>
      </c>
      <c r="K202" s="16">
        <v>0</v>
      </c>
      <c r="L202" s="100">
        <f t="shared" si="47"/>
        <v>0</v>
      </c>
      <c r="M202" s="16">
        <v>3</v>
      </c>
      <c r="N202" s="16">
        <v>1</v>
      </c>
      <c r="O202" s="16">
        <v>0</v>
      </c>
      <c r="P202" s="16">
        <v>0</v>
      </c>
      <c r="Q202" s="16">
        <v>0</v>
      </c>
      <c r="R202" s="16">
        <v>4</v>
      </c>
    </row>
    <row r="203" spans="1:18" x14ac:dyDescent="0.25">
      <c r="A203" s="71">
        <v>42249</v>
      </c>
      <c r="B203" s="20"/>
      <c r="C203" s="15" t="s">
        <v>71</v>
      </c>
      <c r="D203" s="16">
        <v>8</v>
      </c>
      <c r="E203" s="16">
        <v>9</v>
      </c>
      <c r="F203" s="100">
        <f t="shared" si="45"/>
        <v>0.88888888888888884</v>
      </c>
      <c r="G203" s="16">
        <v>0</v>
      </c>
      <c r="H203" s="16">
        <v>0</v>
      </c>
      <c r="I203" s="100">
        <f t="shared" si="46"/>
        <v>0</v>
      </c>
      <c r="J203" s="16">
        <v>2</v>
      </c>
      <c r="K203" s="16">
        <v>2</v>
      </c>
      <c r="L203" s="100">
        <f t="shared" si="47"/>
        <v>1</v>
      </c>
      <c r="M203" s="16">
        <v>6</v>
      </c>
      <c r="N203" s="16">
        <v>2</v>
      </c>
      <c r="O203" s="16">
        <v>2</v>
      </c>
      <c r="P203" s="16">
        <v>1</v>
      </c>
      <c r="Q203" s="16">
        <v>0</v>
      </c>
      <c r="R203" s="16">
        <v>18</v>
      </c>
    </row>
    <row r="204" spans="1:18" x14ac:dyDescent="0.25">
      <c r="A204" s="71">
        <v>42250</v>
      </c>
      <c r="B204" s="20"/>
      <c r="C204" s="15" t="s">
        <v>69</v>
      </c>
      <c r="D204" s="16">
        <v>2</v>
      </c>
      <c r="E204" s="16">
        <v>5</v>
      </c>
      <c r="F204" s="100">
        <f t="shared" si="45"/>
        <v>0.4</v>
      </c>
      <c r="G204" s="16">
        <v>0</v>
      </c>
      <c r="H204" s="16">
        <v>0</v>
      </c>
      <c r="I204" s="100">
        <f t="shared" si="46"/>
        <v>0</v>
      </c>
      <c r="J204" s="16">
        <v>0</v>
      </c>
      <c r="K204" s="16">
        <v>0</v>
      </c>
      <c r="L204" s="100">
        <f t="shared" si="47"/>
        <v>0</v>
      </c>
      <c r="M204" s="16">
        <v>8</v>
      </c>
      <c r="N204" s="16">
        <v>1</v>
      </c>
      <c r="O204" s="16">
        <v>1</v>
      </c>
      <c r="P204" s="16">
        <v>1</v>
      </c>
      <c r="Q204" s="16">
        <v>2</v>
      </c>
      <c r="R204" s="16">
        <v>4</v>
      </c>
    </row>
    <row r="205" spans="1:18" x14ac:dyDescent="0.25">
      <c r="A205" s="71">
        <v>42250</v>
      </c>
      <c r="B205" s="20"/>
      <c r="C205" s="15" t="s">
        <v>73</v>
      </c>
      <c r="D205" s="16">
        <v>7</v>
      </c>
      <c r="E205" s="16">
        <v>11</v>
      </c>
      <c r="F205" s="100">
        <f t="shared" si="45"/>
        <v>0.63636363636363635</v>
      </c>
      <c r="G205" s="16">
        <v>2</v>
      </c>
      <c r="H205" s="16">
        <v>4</v>
      </c>
      <c r="I205" s="100">
        <f t="shared" si="46"/>
        <v>0.5</v>
      </c>
      <c r="J205" s="16">
        <v>3</v>
      </c>
      <c r="K205" s="16">
        <v>3</v>
      </c>
      <c r="L205" s="100">
        <f t="shared" si="47"/>
        <v>1</v>
      </c>
      <c r="M205" s="16">
        <v>3</v>
      </c>
      <c r="N205" s="16">
        <v>3</v>
      </c>
      <c r="O205" s="16">
        <v>0</v>
      </c>
      <c r="P205" s="16">
        <v>1</v>
      </c>
      <c r="Q205" s="16">
        <v>0</v>
      </c>
      <c r="R205" s="16">
        <v>19</v>
      </c>
    </row>
    <row r="206" spans="1:18" x14ac:dyDescent="0.25">
      <c r="A206" s="71">
        <v>42250</v>
      </c>
      <c r="B206" s="20"/>
      <c r="C206" s="15" t="s">
        <v>78</v>
      </c>
      <c r="D206" s="16">
        <v>3</v>
      </c>
      <c r="E206" s="16">
        <v>6</v>
      </c>
      <c r="F206" s="100">
        <f t="shared" si="45"/>
        <v>0.5</v>
      </c>
      <c r="G206" s="16">
        <v>0</v>
      </c>
      <c r="H206" s="16">
        <v>0</v>
      </c>
      <c r="I206" s="100">
        <f t="shared" si="46"/>
        <v>0</v>
      </c>
      <c r="J206" s="16">
        <v>1</v>
      </c>
      <c r="K206" s="16">
        <v>2</v>
      </c>
      <c r="L206" s="100">
        <f t="shared" si="47"/>
        <v>0.5</v>
      </c>
      <c r="M206" s="16">
        <v>4</v>
      </c>
      <c r="N206" s="16">
        <v>0</v>
      </c>
      <c r="O206" s="16">
        <v>1</v>
      </c>
      <c r="P206" s="16">
        <v>1</v>
      </c>
      <c r="Q206" s="16">
        <v>0</v>
      </c>
      <c r="R206" s="16">
        <v>7</v>
      </c>
    </row>
    <row r="207" spans="1:18" x14ac:dyDescent="0.25">
      <c r="A207" s="71">
        <v>42251</v>
      </c>
      <c r="B207" s="20"/>
      <c r="C207" s="15" t="s">
        <v>108</v>
      </c>
      <c r="D207" s="16">
        <v>0</v>
      </c>
      <c r="E207" s="16">
        <v>1</v>
      </c>
      <c r="F207" s="100">
        <f t="shared" si="45"/>
        <v>0</v>
      </c>
      <c r="G207" s="16">
        <v>0</v>
      </c>
      <c r="H207" s="16">
        <v>0</v>
      </c>
      <c r="I207" s="100">
        <f t="shared" si="46"/>
        <v>0</v>
      </c>
      <c r="J207" s="16">
        <v>0</v>
      </c>
      <c r="K207" s="16">
        <v>0</v>
      </c>
      <c r="L207" s="100">
        <f t="shared" si="47"/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</row>
    <row r="208" spans="1:18" x14ac:dyDescent="0.25">
      <c r="A208" s="71">
        <v>42251</v>
      </c>
      <c r="B208" s="20"/>
      <c r="C208" s="15" t="s">
        <v>107</v>
      </c>
      <c r="D208" s="16">
        <v>3</v>
      </c>
      <c r="E208" s="16">
        <v>8</v>
      </c>
      <c r="F208" s="100">
        <f t="shared" si="45"/>
        <v>0.375</v>
      </c>
      <c r="G208" s="16">
        <v>0</v>
      </c>
      <c r="H208" s="16">
        <v>1</v>
      </c>
      <c r="I208" s="100">
        <f t="shared" si="46"/>
        <v>0</v>
      </c>
      <c r="J208" s="16">
        <v>1</v>
      </c>
      <c r="K208" s="16">
        <v>2</v>
      </c>
      <c r="L208" s="100">
        <f t="shared" si="47"/>
        <v>0.5</v>
      </c>
      <c r="M208" s="16">
        <v>2</v>
      </c>
      <c r="N208" s="16">
        <v>0</v>
      </c>
      <c r="O208" s="16">
        <v>2</v>
      </c>
      <c r="P208" s="16">
        <v>0</v>
      </c>
      <c r="Q208" s="16">
        <v>0</v>
      </c>
      <c r="R208" s="16">
        <v>7</v>
      </c>
    </row>
    <row r="209" spans="1:18" x14ac:dyDescent="0.25">
      <c r="A209" s="71">
        <v>42251</v>
      </c>
      <c r="B209" s="20"/>
      <c r="C209" s="15" t="s">
        <v>30</v>
      </c>
      <c r="D209" s="16">
        <v>2</v>
      </c>
      <c r="E209" s="16">
        <v>5</v>
      </c>
      <c r="F209" s="100">
        <f t="shared" si="45"/>
        <v>0.4</v>
      </c>
      <c r="G209" s="16">
        <v>0</v>
      </c>
      <c r="H209" s="16">
        <v>0</v>
      </c>
      <c r="I209" s="100">
        <f t="shared" si="46"/>
        <v>0</v>
      </c>
      <c r="J209" s="16">
        <v>0</v>
      </c>
      <c r="K209" s="16">
        <v>0</v>
      </c>
      <c r="L209" s="100">
        <f t="shared" si="47"/>
        <v>0</v>
      </c>
      <c r="M209" s="16">
        <v>2</v>
      </c>
      <c r="N209" s="16">
        <v>3</v>
      </c>
      <c r="O209" s="16">
        <v>1</v>
      </c>
      <c r="P209" s="16">
        <v>2</v>
      </c>
      <c r="Q209" s="16">
        <v>0</v>
      </c>
      <c r="R209" s="16">
        <v>4</v>
      </c>
    </row>
    <row r="210" spans="1:18" x14ac:dyDescent="0.25">
      <c r="A210" s="71">
        <v>42252</v>
      </c>
      <c r="B210" s="20"/>
      <c r="C210" s="15" t="s">
        <v>71</v>
      </c>
      <c r="D210" s="16">
        <v>4</v>
      </c>
      <c r="E210" s="16">
        <v>7</v>
      </c>
      <c r="F210" s="101">
        <f t="shared" ref="F210:F216" si="48">IF(E210=0,0,D210/E210)</f>
        <v>0.5714285714285714</v>
      </c>
      <c r="G210" s="16">
        <v>0</v>
      </c>
      <c r="H210" s="16">
        <v>0</v>
      </c>
      <c r="I210" s="101">
        <f t="shared" ref="I210:I216" si="49">IF(H210=0,0,G210/H210)</f>
        <v>0</v>
      </c>
      <c r="J210" s="16">
        <v>4</v>
      </c>
      <c r="K210" s="16">
        <v>4</v>
      </c>
      <c r="L210" s="101">
        <f t="shared" ref="L210:L216" si="50">IF(K210=0,0,J210/K210)</f>
        <v>1</v>
      </c>
      <c r="M210" s="16">
        <v>8</v>
      </c>
      <c r="N210" s="16">
        <v>1</v>
      </c>
      <c r="O210" s="16">
        <v>1</v>
      </c>
      <c r="P210" s="16">
        <v>1</v>
      </c>
      <c r="Q210" s="16">
        <v>0</v>
      </c>
      <c r="R210" s="16">
        <v>12</v>
      </c>
    </row>
    <row r="211" spans="1:18" x14ac:dyDescent="0.25">
      <c r="A211" s="71">
        <v>42253</v>
      </c>
      <c r="B211" s="20"/>
      <c r="C211" s="15" t="s">
        <v>69</v>
      </c>
      <c r="D211" s="16">
        <v>0</v>
      </c>
      <c r="E211" s="16">
        <v>1</v>
      </c>
      <c r="F211" s="101">
        <f t="shared" si="48"/>
        <v>0</v>
      </c>
      <c r="G211" s="16">
        <v>0</v>
      </c>
      <c r="H211" s="16">
        <v>0</v>
      </c>
      <c r="I211" s="101">
        <f t="shared" si="49"/>
        <v>0</v>
      </c>
      <c r="J211" s="16">
        <v>0</v>
      </c>
      <c r="K211" s="16">
        <v>0</v>
      </c>
      <c r="L211" s="101">
        <f t="shared" si="50"/>
        <v>0</v>
      </c>
      <c r="M211" s="16">
        <v>8</v>
      </c>
      <c r="N211" s="16">
        <v>1</v>
      </c>
      <c r="O211" s="16">
        <v>1</v>
      </c>
      <c r="P211" s="16">
        <v>0</v>
      </c>
      <c r="Q211" s="16">
        <v>0</v>
      </c>
      <c r="R211" s="16">
        <v>0</v>
      </c>
    </row>
    <row r="212" spans="1:18" x14ac:dyDescent="0.25">
      <c r="A212" s="71">
        <v>42253</v>
      </c>
      <c r="B212" s="20"/>
      <c r="C212" s="15" t="s">
        <v>78</v>
      </c>
      <c r="D212" s="16">
        <v>4</v>
      </c>
      <c r="E212" s="16">
        <v>7</v>
      </c>
      <c r="F212" s="101">
        <f t="shared" si="48"/>
        <v>0.5714285714285714</v>
      </c>
      <c r="G212" s="16">
        <v>0</v>
      </c>
      <c r="H212" s="16">
        <v>0</v>
      </c>
      <c r="I212" s="101">
        <f t="shared" si="49"/>
        <v>0</v>
      </c>
      <c r="J212" s="16">
        <v>0</v>
      </c>
      <c r="K212" s="16">
        <v>0</v>
      </c>
      <c r="L212" s="101">
        <f t="shared" si="50"/>
        <v>0</v>
      </c>
      <c r="M212" s="16">
        <v>1</v>
      </c>
      <c r="N212" s="16">
        <v>0</v>
      </c>
      <c r="O212" s="16">
        <v>2</v>
      </c>
      <c r="P212" s="16">
        <v>2</v>
      </c>
      <c r="Q212" s="16">
        <v>0</v>
      </c>
      <c r="R212" s="16">
        <v>8</v>
      </c>
    </row>
    <row r="213" spans="1:18" x14ac:dyDescent="0.25">
      <c r="A213" s="71">
        <v>42253</v>
      </c>
      <c r="B213" s="20"/>
      <c r="C213" s="15" t="s">
        <v>73</v>
      </c>
      <c r="D213" s="16">
        <v>7</v>
      </c>
      <c r="E213" s="16">
        <v>12</v>
      </c>
      <c r="F213" s="101">
        <f t="shared" si="48"/>
        <v>0.58333333333333337</v>
      </c>
      <c r="G213" s="16">
        <v>3</v>
      </c>
      <c r="H213" s="16">
        <v>4</v>
      </c>
      <c r="I213" s="101">
        <f t="shared" si="49"/>
        <v>0.75</v>
      </c>
      <c r="J213" s="16">
        <v>0</v>
      </c>
      <c r="K213" s="16">
        <v>0</v>
      </c>
      <c r="L213" s="101">
        <f t="shared" si="50"/>
        <v>0</v>
      </c>
      <c r="M213" s="16">
        <v>1</v>
      </c>
      <c r="N213" s="16">
        <v>1</v>
      </c>
      <c r="O213" s="16">
        <v>0</v>
      </c>
      <c r="P213" s="16">
        <v>1</v>
      </c>
      <c r="Q213" s="16">
        <v>0</v>
      </c>
      <c r="R213" s="16">
        <v>17</v>
      </c>
    </row>
    <row r="214" spans="1:18" x14ac:dyDescent="0.25">
      <c r="A214" s="21">
        <v>42255</v>
      </c>
      <c r="B214" s="20"/>
      <c r="C214" s="15" t="s">
        <v>30</v>
      </c>
      <c r="D214" s="16">
        <v>2</v>
      </c>
      <c r="E214" s="16">
        <v>5</v>
      </c>
      <c r="F214" s="109">
        <f t="shared" si="48"/>
        <v>0.4</v>
      </c>
      <c r="G214" s="16">
        <v>1</v>
      </c>
      <c r="H214" s="16">
        <v>2</v>
      </c>
      <c r="I214" s="109">
        <f t="shared" si="49"/>
        <v>0.5</v>
      </c>
      <c r="J214" s="16">
        <v>2</v>
      </c>
      <c r="K214" s="16">
        <v>2</v>
      </c>
      <c r="L214" s="109">
        <f t="shared" si="50"/>
        <v>1</v>
      </c>
      <c r="M214" s="16">
        <v>6</v>
      </c>
      <c r="N214" s="16">
        <v>3</v>
      </c>
      <c r="O214" s="16">
        <v>1</v>
      </c>
      <c r="P214" s="16">
        <v>4</v>
      </c>
      <c r="Q214" s="16">
        <v>0</v>
      </c>
      <c r="R214" s="16">
        <v>7</v>
      </c>
    </row>
    <row r="215" spans="1:18" x14ac:dyDescent="0.25">
      <c r="A215" s="21">
        <v>42255</v>
      </c>
      <c r="B215" s="20"/>
      <c r="C215" s="15" t="s">
        <v>107</v>
      </c>
      <c r="D215" s="16">
        <v>3</v>
      </c>
      <c r="E215" s="16">
        <v>6</v>
      </c>
      <c r="F215" s="109">
        <f t="shared" si="48"/>
        <v>0.5</v>
      </c>
      <c r="G215" s="16">
        <v>0</v>
      </c>
      <c r="H215" s="16">
        <v>0</v>
      </c>
      <c r="I215" s="109">
        <f t="shared" si="49"/>
        <v>0</v>
      </c>
      <c r="J215" s="16">
        <v>3</v>
      </c>
      <c r="K215" s="16">
        <v>5</v>
      </c>
      <c r="L215" s="109">
        <f t="shared" si="50"/>
        <v>0.6</v>
      </c>
      <c r="M215" s="16">
        <v>2</v>
      </c>
      <c r="N215" s="16">
        <v>3</v>
      </c>
      <c r="O215" s="16">
        <v>1</v>
      </c>
      <c r="P215" s="16">
        <v>4</v>
      </c>
      <c r="Q215" s="16">
        <v>1</v>
      </c>
      <c r="R215" s="16">
        <v>9</v>
      </c>
    </row>
    <row r="216" spans="1:18" x14ac:dyDescent="0.25">
      <c r="A216" s="21">
        <v>42255</v>
      </c>
      <c r="B216" s="20"/>
      <c r="C216" s="15" t="s">
        <v>108</v>
      </c>
      <c r="D216" s="16">
        <v>1</v>
      </c>
      <c r="E216" s="16">
        <v>1</v>
      </c>
      <c r="F216" s="109">
        <f t="shared" si="48"/>
        <v>1</v>
      </c>
      <c r="G216" s="16">
        <v>0</v>
      </c>
      <c r="H216" s="16">
        <v>0</v>
      </c>
      <c r="I216" s="109">
        <f t="shared" si="49"/>
        <v>0</v>
      </c>
      <c r="J216" s="16">
        <v>0</v>
      </c>
      <c r="K216" s="16">
        <v>0</v>
      </c>
      <c r="L216" s="109">
        <f t="shared" si="50"/>
        <v>0</v>
      </c>
      <c r="M216" s="16">
        <v>5</v>
      </c>
      <c r="N216" s="16">
        <v>1</v>
      </c>
      <c r="O216" s="16">
        <v>1</v>
      </c>
      <c r="P216" s="16">
        <v>1</v>
      </c>
      <c r="Q216" s="16">
        <v>0</v>
      </c>
      <c r="R216" s="16">
        <v>2</v>
      </c>
    </row>
    <row r="217" spans="1:18" x14ac:dyDescent="0.25">
      <c r="A217" s="21">
        <v>42258</v>
      </c>
      <c r="B217" s="20"/>
      <c r="C217" s="15" t="s">
        <v>107</v>
      </c>
      <c r="D217" s="16">
        <v>5</v>
      </c>
      <c r="E217" s="16">
        <v>8</v>
      </c>
      <c r="F217" s="121">
        <f t="shared" ref="F217:F227" si="51">IF(E217=0,0,D217/E217)</f>
        <v>0.625</v>
      </c>
      <c r="G217" s="16">
        <v>0</v>
      </c>
      <c r="H217" s="16">
        <v>1</v>
      </c>
      <c r="I217" s="121">
        <f t="shared" ref="I217:I227" si="52">IF(H217=0,0,G217/H217)</f>
        <v>0</v>
      </c>
      <c r="J217" s="16">
        <v>4</v>
      </c>
      <c r="K217" s="16">
        <v>4</v>
      </c>
      <c r="L217" s="121">
        <f t="shared" ref="L217:L227" si="53">IF(K217=0,0,J217/K217)</f>
        <v>1</v>
      </c>
      <c r="M217" s="16">
        <v>3</v>
      </c>
      <c r="N217" s="16">
        <v>5</v>
      </c>
      <c r="O217" s="16">
        <v>1</v>
      </c>
      <c r="P217" s="16">
        <v>4</v>
      </c>
      <c r="Q217" s="16">
        <v>1</v>
      </c>
      <c r="R217" s="16">
        <v>14</v>
      </c>
    </row>
    <row r="218" spans="1:18" x14ac:dyDescent="0.25">
      <c r="A218" s="21">
        <v>42258</v>
      </c>
      <c r="B218" s="20"/>
      <c r="C218" s="15" t="s">
        <v>71</v>
      </c>
      <c r="D218" s="16">
        <v>3</v>
      </c>
      <c r="E218" s="16">
        <v>6</v>
      </c>
      <c r="F218" s="121">
        <f t="shared" si="51"/>
        <v>0.5</v>
      </c>
      <c r="G218" s="16">
        <v>0</v>
      </c>
      <c r="H218" s="16">
        <v>0</v>
      </c>
      <c r="I218" s="121">
        <f t="shared" si="52"/>
        <v>0</v>
      </c>
      <c r="J218" s="16">
        <v>6</v>
      </c>
      <c r="K218" s="16">
        <v>7</v>
      </c>
      <c r="L218" s="121">
        <f t="shared" si="53"/>
        <v>0.8571428571428571</v>
      </c>
      <c r="M218" s="16">
        <v>9</v>
      </c>
      <c r="N218" s="16">
        <v>2</v>
      </c>
      <c r="O218" s="16">
        <v>1</v>
      </c>
      <c r="P218" s="16">
        <v>2</v>
      </c>
      <c r="Q218" s="16">
        <v>0</v>
      </c>
      <c r="R218" s="16">
        <v>12</v>
      </c>
    </row>
    <row r="219" spans="1:18" x14ac:dyDescent="0.25">
      <c r="A219" s="21">
        <v>42258</v>
      </c>
      <c r="B219" s="20"/>
      <c r="C219" s="15" t="s">
        <v>73</v>
      </c>
      <c r="D219" s="16">
        <v>6</v>
      </c>
      <c r="E219" s="16">
        <v>11</v>
      </c>
      <c r="F219" s="121">
        <f t="shared" si="51"/>
        <v>0.54545454545454541</v>
      </c>
      <c r="G219" s="16">
        <v>2</v>
      </c>
      <c r="H219" s="16">
        <v>5</v>
      </c>
      <c r="I219" s="121">
        <f t="shared" si="52"/>
        <v>0.4</v>
      </c>
      <c r="J219" s="16">
        <v>0</v>
      </c>
      <c r="K219" s="16">
        <v>0</v>
      </c>
      <c r="L219" s="121">
        <f t="shared" si="53"/>
        <v>0</v>
      </c>
      <c r="M219" s="16">
        <v>1</v>
      </c>
      <c r="N219" s="16">
        <v>1</v>
      </c>
      <c r="O219" s="16">
        <v>0</v>
      </c>
      <c r="P219" s="16">
        <v>0</v>
      </c>
      <c r="Q219" s="16">
        <v>0</v>
      </c>
      <c r="R219" s="16">
        <v>14</v>
      </c>
    </row>
    <row r="220" spans="1:18" x14ac:dyDescent="0.25">
      <c r="A220" s="21">
        <v>42258</v>
      </c>
      <c r="B220" s="20"/>
      <c r="C220" s="15" t="s">
        <v>78</v>
      </c>
      <c r="D220" s="16">
        <v>0</v>
      </c>
      <c r="E220" s="16">
        <v>4</v>
      </c>
      <c r="F220" s="121">
        <f t="shared" si="51"/>
        <v>0</v>
      </c>
      <c r="G220" s="16">
        <v>0</v>
      </c>
      <c r="H220" s="16">
        <v>0</v>
      </c>
      <c r="I220" s="121">
        <f t="shared" si="52"/>
        <v>0</v>
      </c>
      <c r="J220" s="16">
        <v>2</v>
      </c>
      <c r="K220" s="16">
        <v>2</v>
      </c>
      <c r="L220" s="121">
        <f t="shared" si="53"/>
        <v>1</v>
      </c>
      <c r="M220" s="16">
        <v>5</v>
      </c>
      <c r="N220" s="16">
        <v>5</v>
      </c>
      <c r="O220" s="16">
        <v>1</v>
      </c>
      <c r="P220" s="16">
        <v>1</v>
      </c>
      <c r="Q220" s="16">
        <v>0</v>
      </c>
      <c r="R220" s="16">
        <v>2</v>
      </c>
    </row>
    <row r="221" spans="1:18" x14ac:dyDescent="0.25">
      <c r="A221" s="21">
        <v>42258</v>
      </c>
      <c r="B221" s="20"/>
      <c r="C221" s="15" t="s">
        <v>69</v>
      </c>
      <c r="D221" s="16">
        <v>3</v>
      </c>
      <c r="E221" s="16">
        <v>3</v>
      </c>
      <c r="F221" s="121">
        <f t="shared" si="51"/>
        <v>1</v>
      </c>
      <c r="G221" s="16">
        <v>0</v>
      </c>
      <c r="H221" s="16">
        <v>0</v>
      </c>
      <c r="I221" s="121">
        <f t="shared" si="52"/>
        <v>0</v>
      </c>
      <c r="J221" s="16">
        <v>2</v>
      </c>
      <c r="K221" s="16">
        <v>4</v>
      </c>
      <c r="L221" s="121">
        <f t="shared" si="53"/>
        <v>0.5</v>
      </c>
      <c r="M221" s="16">
        <v>4</v>
      </c>
      <c r="N221" s="16">
        <v>1</v>
      </c>
      <c r="O221" s="16">
        <v>0</v>
      </c>
      <c r="P221" s="16">
        <v>1</v>
      </c>
      <c r="Q221" s="16">
        <v>2</v>
      </c>
      <c r="R221" s="16">
        <v>8</v>
      </c>
    </row>
    <row r="222" spans="1:18" x14ac:dyDescent="0.25">
      <c r="A222" s="21">
        <v>42258</v>
      </c>
      <c r="B222" s="20"/>
      <c r="C222" s="15" t="s">
        <v>30</v>
      </c>
      <c r="D222" s="16">
        <v>4</v>
      </c>
      <c r="E222" s="16">
        <v>11</v>
      </c>
      <c r="F222" s="121">
        <f t="shared" si="51"/>
        <v>0.36363636363636365</v>
      </c>
      <c r="G222" s="16">
        <v>1</v>
      </c>
      <c r="H222" s="16">
        <v>4</v>
      </c>
      <c r="I222" s="121">
        <f t="shared" si="52"/>
        <v>0.25</v>
      </c>
      <c r="J222" s="16">
        <v>4</v>
      </c>
      <c r="K222" s="16">
        <v>6</v>
      </c>
      <c r="L222" s="121">
        <f t="shared" si="53"/>
        <v>0.66666666666666663</v>
      </c>
      <c r="M222" s="16">
        <v>8</v>
      </c>
      <c r="N222" s="16">
        <v>3</v>
      </c>
      <c r="O222" s="16">
        <v>2</v>
      </c>
      <c r="P222" s="16">
        <v>4</v>
      </c>
      <c r="Q222" s="16">
        <v>1</v>
      </c>
      <c r="R222" s="16">
        <v>13</v>
      </c>
    </row>
    <row r="223" spans="1:18" x14ac:dyDescent="0.25">
      <c r="A223" s="73">
        <v>42260</v>
      </c>
      <c r="B223" s="20"/>
      <c r="C223" s="15" t="s">
        <v>30</v>
      </c>
      <c r="D223" s="16">
        <v>1</v>
      </c>
      <c r="E223" s="16">
        <v>5</v>
      </c>
      <c r="F223" s="121">
        <f t="shared" si="51"/>
        <v>0.2</v>
      </c>
      <c r="G223" s="16">
        <v>0</v>
      </c>
      <c r="H223" s="16">
        <v>1</v>
      </c>
      <c r="I223" s="121">
        <f t="shared" si="52"/>
        <v>0</v>
      </c>
      <c r="J223" s="16">
        <v>4</v>
      </c>
      <c r="K223" s="16">
        <v>4</v>
      </c>
      <c r="L223" s="121">
        <f t="shared" si="53"/>
        <v>1</v>
      </c>
      <c r="M223" s="16">
        <v>6</v>
      </c>
      <c r="N223" s="16">
        <v>2</v>
      </c>
      <c r="O223" s="16">
        <v>0</v>
      </c>
      <c r="P223" s="16">
        <v>0</v>
      </c>
      <c r="Q223" s="16">
        <v>0</v>
      </c>
      <c r="R223" s="16">
        <v>6</v>
      </c>
    </row>
    <row r="224" spans="1:18" x14ac:dyDescent="0.25">
      <c r="A224" s="73">
        <v>42260</v>
      </c>
      <c r="B224" s="20"/>
      <c r="C224" s="15" t="s">
        <v>69</v>
      </c>
      <c r="D224" s="16">
        <v>4</v>
      </c>
      <c r="E224" s="16">
        <v>4</v>
      </c>
      <c r="F224" s="121">
        <f t="shared" si="51"/>
        <v>1</v>
      </c>
      <c r="G224" s="16">
        <v>0</v>
      </c>
      <c r="H224" s="16">
        <v>0</v>
      </c>
      <c r="I224" s="121">
        <f t="shared" si="52"/>
        <v>0</v>
      </c>
      <c r="J224" s="16">
        <v>1</v>
      </c>
      <c r="K224" s="16">
        <v>1</v>
      </c>
      <c r="L224" s="121">
        <f t="shared" si="53"/>
        <v>1</v>
      </c>
      <c r="M224" s="16">
        <v>9</v>
      </c>
      <c r="N224" s="16">
        <v>1</v>
      </c>
      <c r="O224" s="16">
        <v>1</v>
      </c>
      <c r="P224" s="16">
        <v>0</v>
      </c>
      <c r="Q224" s="16">
        <v>1</v>
      </c>
      <c r="R224" s="16">
        <v>9</v>
      </c>
    </row>
    <row r="225" spans="1:18" x14ac:dyDescent="0.25">
      <c r="A225" s="73">
        <v>42260</v>
      </c>
      <c r="B225" s="20"/>
      <c r="C225" s="15" t="s">
        <v>78</v>
      </c>
      <c r="D225" s="16">
        <v>0</v>
      </c>
      <c r="E225" s="16">
        <v>1</v>
      </c>
      <c r="F225" s="121">
        <f t="shared" si="51"/>
        <v>0</v>
      </c>
      <c r="G225" s="16">
        <v>0</v>
      </c>
      <c r="H225" s="16">
        <v>0</v>
      </c>
      <c r="I225" s="121">
        <f t="shared" si="52"/>
        <v>0</v>
      </c>
      <c r="J225" s="16">
        <v>1</v>
      </c>
      <c r="K225" s="16">
        <v>2</v>
      </c>
      <c r="L225" s="121">
        <f t="shared" si="53"/>
        <v>0.5</v>
      </c>
      <c r="M225" s="16">
        <v>3</v>
      </c>
      <c r="N225" s="16">
        <v>4</v>
      </c>
      <c r="O225" s="16">
        <v>0</v>
      </c>
      <c r="P225" s="16">
        <v>1</v>
      </c>
      <c r="Q225" s="16">
        <v>0</v>
      </c>
      <c r="R225" s="16">
        <v>1</v>
      </c>
    </row>
    <row r="226" spans="1:18" x14ac:dyDescent="0.25">
      <c r="A226" s="73">
        <v>42260</v>
      </c>
      <c r="B226" s="20"/>
      <c r="C226" s="15" t="s">
        <v>73</v>
      </c>
      <c r="D226" s="16">
        <v>2</v>
      </c>
      <c r="E226" s="16">
        <v>12</v>
      </c>
      <c r="F226" s="121">
        <f t="shared" si="51"/>
        <v>0.16666666666666666</v>
      </c>
      <c r="G226" s="16">
        <v>2</v>
      </c>
      <c r="H226" s="16">
        <v>7</v>
      </c>
      <c r="I226" s="121">
        <f t="shared" si="52"/>
        <v>0.2857142857142857</v>
      </c>
      <c r="J226" s="16">
        <v>3</v>
      </c>
      <c r="K226" s="16">
        <v>4</v>
      </c>
      <c r="L226" s="121">
        <f t="shared" si="53"/>
        <v>0.75</v>
      </c>
      <c r="M226" s="16">
        <v>2</v>
      </c>
      <c r="N226" s="16">
        <v>0</v>
      </c>
      <c r="O226" s="16">
        <v>0</v>
      </c>
      <c r="P226" s="16">
        <v>2</v>
      </c>
      <c r="Q226" s="16">
        <v>0</v>
      </c>
      <c r="R226" s="16">
        <v>9</v>
      </c>
    </row>
    <row r="227" spans="1:18" x14ac:dyDescent="0.25">
      <c r="A227" s="73">
        <v>42260</v>
      </c>
      <c r="B227" s="20"/>
      <c r="C227" s="15" t="s">
        <v>107</v>
      </c>
      <c r="D227" s="16">
        <v>6</v>
      </c>
      <c r="E227" s="16">
        <v>9</v>
      </c>
      <c r="F227" s="121">
        <f t="shared" si="51"/>
        <v>0.66666666666666663</v>
      </c>
      <c r="G227" s="16">
        <v>2</v>
      </c>
      <c r="H227" s="16">
        <v>2</v>
      </c>
      <c r="I227" s="121">
        <f t="shared" si="52"/>
        <v>1</v>
      </c>
      <c r="J227" s="16">
        <v>8</v>
      </c>
      <c r="K227" s="16">
        <v>11</v>
      </c>
      <c r="L227" s="121">
        <f t="shared" si="53"/>
        <v>0.72727272727272729</v>
      </c>
      <c r="M227" s="16">
        <v>2</v>
      </c>
      <c r="N227" s="16">
        <v>3</v>
      </c>
      <c r="O227" s="16">
        <v>2</v>
      </c>
      <c r="P227" s="16">
        <v>3</v>
      </c>
      <c r="Q227" s="16">
        <v>0</v>
      </c>
      <c r="R227" s="16">
        <v>22</v>
      </c>
    </row>
    <row r="229" spans="1:18" x14ac:dyDescent="0.25">
      <c r="A229" s="6" t="s">
        <v>17</v>
      </c>
      <c r="C229" s="6"/>
      <c r="D229" s="6">
        <f>SUBTOTAL(109,idchafeeStats[FGM])</f>
        <v>810</v>
      </c>
      <c r="E229" s="6">
        <f>SUBTOTAL(109,idchafeeStats[FGA])</f>
        <v>1815</v>
      </c>
      <c r="F229" s="7">
        <f>idchafeeStats[[#Totals],[FGM]]/idchafeeStats[[#Totals],[FGA]]</f>
        <v>0.4462809917355372</v>
      </c>
      <c r="G229" s="6">
        <f>SUBTOTAL(109,idchafeeStats[3-PT FGM])</f>
        <v>81</v>
      </c>
      <c r="H229" s="6">
        <f>SUBTOTAL(109,idchafeeStats[3-PT FGA])</f>
        <v>271</v>
      </c>
      <c r="I229" s="7">
        <f>idchafeeStats[[#Totals],[3-PT FGM]]/idchafeeStats[[#Totals],[3-PT FGA]]</f>
        <v>0.2988929889298893</v>
      </c>
      <c r="J229" s="6">
        <f>SUBTOTAL(109,idchafeeStats[FTM])</f>
        <v>313</v>
      </c>
      <c r="K229" s="6">
        <f>SUBTOTAL(109,idchafeeStats[FTA])</f>
        <v>411</v>
      </c>
      <c r="L229" s="7">
        <f>idchafeeStats[[#Totals],[FTM]]/idchafeeStats[[#Totals],[FTA]]</f>
        <v>0.76155717761557173</v>
      </c>
      <c r="M229" s="6">
        <f>SUBTOTAL(109,idchafeeStats[REB])</f>
        <v>823</v>
      </c>
      <c r="N229" s="6">
        <f>SUBTOTAL(109,idchafeeStats[AST])</f>
        <v>359</v>
      </c>
      <c r="O229" s="6">
        <f>SUBTOTAL(109,idchafeeStats[STL])</f>
        <v>164</v>
      </c>
      <c r="P229" s="6">
        <f>SUBTOTAL(109,idchafeeStats[TO])</f>
        <v>290</v>
      </c>
      <c r="Q229" s="6">
        <f>SUBTOTAL(109,idchafeeStats[BLK])</f>
        <v>92</v>
      </c>
      <c r="R229" s="6">
        <f>SUBTOTAL(109,idchafeeStats[PTS])</f>
        <v>2014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8"/>
  <sheetViews>
    <sheetView showGridLines="0" topLeftCell="A216" workbookViewId="0">
      <selection sqref="A1:R238"/>
    </sheetView>
  </sheetViews>
  <sheetFormatPr defaultRowHeight="15" x14ac:dyDescent="0.25"/>
  <cols>
    <col min="1" max="1" width="7.42578125" bestFit="1" customWidth="1"/>
    <col min="2" max="2" width="1.42578125" style="6" bestFit="1" customWidth="1"/>
    <col min="3" max="3" width="20.5703125" customWidth="1"/>
    <col min="4" max="4" width="5.28515625" bestFit="1" customWidth="1"/>
    <col min="5" max="5" width="4.7109375" bestFit="1" customWidth="1"/>
    <col min="6" max="6" width="5.5703125" style="1" bestFit="1" customWidth="1"/>
    <col min="7" max="7" width="5" customWidth="1"/>
    <col min="8" max="8" width="5.5703125" customWidth="1"/>
    <col min="9" max="9" width="6.42578125" style="1" bestFit="1" customWidth="1"/>
    <col min="10" max="10" width="4.85546875" bestFit="1" customWidth="1"/>
    <col min="11" max="11" width="4.28515625" bestFit="1" customWidth="1"/>
    <col min="12" max="12" width="5.5703125" style="1" bestFit="1" customWidth="1"/>
    <col min="13" max="13" width="5" bestFit="1" customWidth="1"/>
    <col min="14" max="14" width="4.28515625" bestFit="1" customWidth="1"/>
    <col min="15" max="15" width="3.85546875" bestFit="1" customWidth="1"/>
    <col min="16" max="16" width="4" bestFit="1" customWidth="1"/>
    <col min="17" max="17" width="4.140625" bestFit="1" customWidth="1"/>
    <col min="18" max="18" width="5" bestFit="1" customWidth="1"/>
    <col min="20" max="20" width="6" customWidth="1"/>
  </cols>
  <sheetData>
    <row r="1" spans="1:18" s="2" customFormat="1" x14ac:dyDescent="0.25">
      <c r="A1" s="3" t="s">
        <v>0</v>
      </c>
      <c r="B1" s="11" t="s">
        <v>19</v>
      </c>
      <c r="C1" s="4" t="s">
        <v>1</v>
      </c>
      <c r="D1" s="3" t="s">
        <v>2</v>
      </c>
      <c r="E1" s="3" t="s">
        <v>3</v>
      </c>
      <c r="F1" s="5" t="s">
        <v>4</v>
      </c>
      <c r="G1" s="3" t="s">
        <v>5</v>
      </c>
      <c r="H1" s="3" t="s">
        <v>6</v>
      </c>
      <c r="I1" s="5" t="s">
        <v>7</v>
      </c>
      <c r="J1" s="3" t="s">
        <v>8</v>
      </c>
      <c r="K1" s="3" t="s">
        <v>9</v>
      </c>
      <c r="L1" s="5" t="s">
        <v>10</v>
      </c>
      <c r="M1" s="3" t="s">
        <v>11</v>
      </c>
      <c r="N1" s="3" t="s">
        <v>12</v>
      </c>
      <c r="O1" s="3" t="s">
        <v>15</v>
      </c>
      <c r="P1" s="3" t="s">
        <v>16</v>
      </c>
      <c r="Q1" s="3" t="s">
        <v>14</v>
      </c>
      <c r="R1" s="13" t="s">
        <v>13</v>
      </c>
    </row>
    <row r="2" spans="1:18" s="6" customFormat="1" x14ac:dyDescent="0.25">
      <c r="A2" s="14">
        <v>42160</v>
      </c>
      <c r="B2" s="15"/>
      <c r="C2" s="10" t="s">
        <v>63</v>
      </c>
      <c r="D2" s="16">
        <v>5</v>
      </c>
      <c r="E2" s="16">
        <v>12</v>
      </c>
      <c r="F2" s="17">
        <f t="shared" ref="F2:F7" si="0">IF(E2=0,0,D2/E2)</f>
        <v>0.41666666666666669</v>
      </c>
      <c r="G2" s="16">
        <v>4</v>
      </c>
      <c r="H2" s="16">
        <v>5</v>
      </c>
      <c r="I2" s="17">
        <f t="shared" ref="I2:I7" si="1">IF(H2=0,0,G2/H2)</f>
        <v>0.8</v>
      </c>
      <c r="J2" s="16">
        <v>3</v>
      </c>
      <c r="K2" s="16">
        <v>3</v>
      </c>
      <c r="L2" s="17">
        <f t="shared" ref="L2:L7" si="2">IF(K2=0,0,J2/K2)</f>
        <v>1</v>
      </c>
      <c r="M2" s="16">
        <v>2</v>
      </c>
      <c r="N2" s="16">
        <v>2</v>
      </c>
      <c r="O2" s="16">
        <v>4</v>
      </c>
      <c r="P2" s="16">
        <v>1</v>
      </c>
      <c r="Q2" s="16">
        <v>1</v>
      </c>
      <c r="R2" s="16">
        <v>17</v>
      </c>
    </row>
    <row r="3" spans="1:18" x14ac:dyDescent="0.25">
      <c r="A3" s="14">
        <v>42160</v>
      </c>
      <c r="B3" s="15"/>
      <c r="C3" s="10" t="s">
        <v>64</v>
      </c>
      <c r="D3" s="16">
        <v>3</v>
      </c>
      <c r="E3" s="16">
        <v>12</v>
      </c>
      <c r="F3" s="17">
        <f t="shared" si="0"/>
        <v>0.25</v>
      </c>
      <c r="G3" s="16">
        <v>3</v>
      </c>
      <c r="H3" s="16">
        <v>9</v>
      </c>
      <c r="I3" s="17">
        <f t="shared" si="1"/>
        <v>0.33333333333333331</v>
      </c>
      <c r="J3" s="16">
        <v>6</v>
      </c>
      <c r="K3" s="16">
        <v>6</v>
      </c>
      <c r="L3" s="17">
        <f t="shared" si="2"/>
        <v>1</v>
      </c>
      <c r="M3" s="16">
        <v>4</v>
      </c>
      <c r="N3" s="16">
        <v>5</v>
      </c>
      <c r="O3" s="16">
        <v>0</v>
      </c>
      <c r="P3" s="16">
        <v>3</v>
      </c>
      <c r="Q3" s="16">
        <v>0</v>
      </c>
      <c r="R3" s="16">
        <v>15</v>
      </c>
    </row>
    <row r="4" spans="1:18" x14ac:dyDescent="0.25">
      <c r="A4" s="14">
        <v>42160</v>
      </c>
      <c r="B4" s="15"/>
      <c r="C4" s="10" t="s">
        <v>65</v>
      </c>
      <c r="D4" s="16">
        <v>1</v>
      </c>
      <c r="E4" s="16">
        <v>1</v>
      </c>
      <c r="F4" s="17">
        <f t="shared" si="0"/>
        <v>1</v>
      </c>
      <c r="G4" s="16">
        <v>0</v>
      </c>
      <c r="H4" s="16">
        <v>0</v>
      </c>
      <c r="I4" s="17">
        <f t="shared" si="1"/>
        <v>0</v>
      </c>
      <c r="J4" s="16">
        <v>0</v>
      </c>
      <c r="K4" s="16">
        <v>0</v>
      </c>
      <c r="L4" s="17">
        <f t="shared" si="2"/>
        <v>0</v>
      </c>
      <c r="M4" s="16">
        <v>0</v>
      </c>
      <c r="N4" s="16">
        <v>0</v>
      </c>
      <c r="O4" s="16">
        <v>0</v>
      </c>
      <c r="P4" s="16">
        <v>1</v>
      </c>
      <c r="Q4" s="16">
        <v>0</v>
      </c>
      <c r="R4" s="16">
        <v>2</v>
      </c>
    </row>
    <row r="5" spans="1:18" x14ac:dyDescent="0.25">
      <c r="A5" s="14">
        <v>42160</v>
      </c>
      <c r="B5" s="15"/>
      <c r="C5" s="10" t="s">
        <v>66</v>
      </c>
      <c r="D5" s="16">
        <v>1</v>
      </c>
      <c r="E5" s="16">
        <v>2</v>
      </c>
      <c r="F5" s="17">
        <f t="shared" si="0"/>
        <v>0.5</v>
      </c>
      <c r="G5" s="16">
        <v>0</v>
      </c>
      <c r="H5" s="16">
        <v>0</v>
      </c>
      <c r="I5" s="17">
        <f t="shared" si="1"/>
        <v>0</v>
      </c>
      <c r="J5" s="16">
        <v>0</v>
      </c>
      <c r="K5" s="16">
        <v>0</v>
      </c>
      <c r="L5" s="17">
        <f t="shared" si="2"/>
        <v>0</v>
      </c>
      <c r="M5" s="16">
        <v>3</v>
      </c>
      <c r="N5" s="16">
        <v>0</v>
      </c>
      <c r="O5" s="16">
        <v>0</v>
      </c>
      <c r="P5" s="16">
        <v>0</v>
      </c>
      <c r="Q5" s="16">
        <v>3</v>
      </c>
      <c r="R5" s="16">
        <v>2</v>
      </c>
    </row>
    <row r="6" spans="1:18" x14ac:dyDescent="0.25">
      <c r="A6" s="26">
        <v>42160</v>
      </c>
      <c r="B6" s="26"/>
      <c r="C6" s="6" t="s">
        <v>67</v>
      </c>
      <c r="D6" s="23">
        <v>3</v>
      </c>
      <c r="E6" s="23">
        <v>7</v>
      </c>
      <c r="F6" s="24">
        <f t="shared" si="0"/>
        <v>0.42857142857142855</v>
      </c>
      <c r="G6" s="23">
        <v>0</v>
      </c>
      <c r="H6" s="23">
        <v>0</v>
      </c>
      <c r="I6" s="24">
        <f t="shared" si="1"/>
        <v>0</v>
      </c>
      <c r="J6" s="23">
        <v>0</v>
      </c>
      <c r="K6" s="23">
        <v>0</v>
      </c>
      <c r="L6" s="24">
        <f t="shared" si="2"/>
        <v>0</v>
      </c>
      <c r="M6" s="23">
        <v>13</v>
      </c>
      <c r="N6" s="23">
        <v>4</v>
      </c>
      <c r="O6" s="23">
        <v>0</v>
      </c>
      <c r="P6" s="23">
        <v>0</v>
      </c>
      <c r="Q6" s="23">
        <v>1</v>
      </c>
      <c r="R6" s="25">
        <v>6</v>
      </c>
    </row>
    <row r="7" spans="1:18" x14ac:dyDescent="0.25">
      <c r="A7" s="26">
        <v>42160</v>
      </c>
      <c r="B7" s="26"/>
      <c r="C7" s="6" t="s">
        <v>68</v>
      </c>
      <c r="D7" s="23">
        <v>2</v>
      </c>
      <c r="E7" s="23">
        <v>11</v>
      </c>
      <c r="F7" s="24">
        <f t="shared" si="0"/>
        <v>0.18181818181818182</v>
      </c>
      <c r="G7" s="23">
        <v>1</v>
      </c>
      <c r="H7" s="23">
        <v>5</v>
      </c>
      <c r="I7" s="24">
        <f t="shared" si="1"/>
        <v>0.2</v>
      </c>
      <c r="J7" s="23">
        <v>0</v>
      </c>
      <c r="K7" s="23">
        <v>0</v>
      </c>
      <c r="L7" s="24">
        <f t="shared" si="2"/>
        <v>0</v>
      </c>
      <c r="M7" s="23">
        <v>4</v>
      </c>
      <c r="N7" s="23">
        <v>2</v>
      </c>
      <c r="O7" s="23">
        <v>0</v>
      </c>
      <c r="P7" s="23">
        <v>0</v>
      </c>
      <c r="Q7" s="23">
        <v>0</v>
      </c>
      <c r="R7" s="25">
        <v>5</v>
      </c>
    </row>
    <row r="8" spans="1:18" x14ac:dyDescent="0.25">
      <c r="A8" s="26">
        <v>42161</v>
      </c>
      <c r="B8" s="26"/>
      <c r="C8" s="22" t="s">
        <v>66</v>
      </c>
      <c r="D8" s="23">
        <v>1</v>
      </c>
      <c r="E8" s="23">
        <v>3</v>
      </c>
      <c r="F8" s="24">
        <f t="shared" ref="F8:F21" si="3">IF(E8=0,0,D8/E8)</f>
        <v>0.33333333333333331</v>
      </c>
      <c r="G8" s="23">
        <v>0</v>
      </c>
      <c r="H8" s="23">
        <v>0</v>
      </c>
      <c r="I8" s="24">
        <f t="shared" ref="I8:I21" si="4">IF(H8=0,0,G8/H8)</f>
        <v>0</v>
      </c>
      <c r="J8" s="23">
        <v>1</v>
      </c>
      <c r="K8" s="23">
        <v>5</v>
      </c>
      <c r="L8" s="24">
        <f t="shared" ref="L8:L21" si="5">IF(K8=0,0,J8/K8)</f>
        <v>0.2</v>
      </c>
      <c r="M8" s="23">
        <v>9</v>
      </c>
      <c r="N8" s="23">
        <v>1</v>
      </c>
      <c r="O8" s="23">
        <v>0</v>
      </c>
      <c r="P8" s="23">
        <v>2</v>
      </c>
      <c r="Q8" s="23">
        <v>2</v>
      </c>
      <c r="R8" s="25">
        <v>3</v>
      </c>
    </row>
    <row r="9" spans="1:18" x14ac:dyDescent="0.25">
      <c r="A9" s="14">
        <v>42161</v>
      </c>
      <c r="B9" s="15"/>
      <c r="C9" s="15" t="s">
        <v>64</v>
      </c>
      <c r="D9" s="16">
        <v>4</v>
      </c>
      <c r="E9" s="16">
        <v>13</v>
      </c>
      <c r="F9" s="18">
        <f t="shared" si="3"/>
        <v>0.30769230769230771</v>
      </c>
      <c r="G9" s="16">
        <v>2</v>
      </c>
      <c r="H9" s="16">
        <v>7</v>
      </c>
      <c r="I9" s="18">
        <f t="shared" si="4"/>
        <v>0.2857142857142857</v>
      </c>
      <c r="J9" s="16">
        <v>0</v>
      </c>
      <c r="K9" s="16">
        <v>0</v>
      </c>
      <c r="L9" s="18">
        <f t="shared" si="5"/>
        <v>0</v>
      </c>
      <c r="M9" s="16">
        <v>1</v>
      </c>
      <c r="N9" s="16">
        <v>1</v>
      </c>
      <c r="O9" s="16">
        <v>0</v>
      </c>
      <c r="P9" s="16">
        <v>0</v>
      </c>
      <c r="Q9" s="16">
        <v>0</v>
      </c>
      <c r="R9" s="16">
        <v>10</v>
      </c>
    </row>
    <row r="10" spans="1:18" x14ac:dyDescent="0.25">
      <c r="A10" s="26">
        <v>42161</v>
      </c>
      <c r="B10" s="26"/>
      <c r="C10" s="22" t="s">
        <v>67</v>
      </c>
      <c r="D10" s="23">
        <v>0</v>
      </c>
      <c r="E10" s="23">
        <v>1</v>
      </c>
      <c r="F10" s="24">
        <f t="shared" si="3"/>
        <v>0</v>
      </c>
      <c r="G10" s="23">
        <v>0</v>
      </c>
      <c r="H10" s="23">
        <v>0</v>
      </c>
      <c r="I10" s="24">
        <f t="shared" si="4"/>
        <v>0</v>
      </c>
      <c r="J10" s="23">
        <v>0</v>
      </c>
      <c r="K10" s="23">
        <v>0</v>
      </c>
      <c r="L10" s="24">
        <f t="shared" si="5"/>
        <v>0</v>
      </c>
      <c r="M10" s="23">
        <v>4</v>
      </c>
      <c r="N10" s="23">
        <v>1</v>
      </c>
      <c r="O10" s="23">
        <v>3</v>
      </c>
      <c r="P10" s="23">
        <v>1</v>
      </c>
      <c r="Q10" s="23">
        <v>1</v>
      </c>
      <c r="R10" s="25">
        <v>0</v>
      </c>
    </row>
    <row r="11" spans="1:18" s="6" customFormat="1" x14ac:dyDescent="0.25">
      <c r="A11" s="43">
        <v>42162</v>
      </c>
      <c r="B11" s="43"/>
      <c r="C11" s="22" t="s">
        <v>65</v>
      </c>
      <c r="D11" s="23">
        <v>2</v>
      </c>
      <c r="E11" s="23">
        <v>5</v>
      </c>
      <c r="F11" s="38">
        <f t="shared" si="3"/>
        <v>0.4</v>
      </c>
      <c r="G11" s="23">
        <v>0</v>
      </c>
      <c r="H11" s="23">
        <v>0</v>
      </c>
      <c r="I11" s="38">
        <f t="shared" si="4"/>
        <v>0</v>
      </c>
      <c r="J11" s="23">
        <v>1</v>
      </c>
      <c r="K11" s="23">
        <v>1</v>
      </c>
      <c r="L11" s="38">
        <f t="shared" si="5"/>
        <v>1</v>
      </c>
      <c r="M11" s="23">
        <v>5</v>
      </c>
      <c r="N11" s="23">
        <v>0</v>
      </c>
      <c r="O11" s="23">
        <v>0</v>
      </c>
      <c r="P11" s="23">
        <v>2</v>
      </c>
      <c r="Q11" s="23">
        <v>2</v>
      </c>
      <c r="R11" s="25">
        <v>5</v>
      </c>
    </row>
    <row r="12" spans="1:18" x14ac:dyDescent="0.25">
      <c r="A12" s="43">
        <v>42162</v>
      </c>
      <c r="B12" s="43"/>
      <c r="C12" s="22" t="s">
        <v>63</v>
      </c>
      <c r="D12" s="23">
        <v>6</v>
      </c>
      <c r="E12" s="23">
        <v>14</v>
      </c>
      <c r="F12" s="38">
        <f t="shared" si="3"/>
        <v>0.42857142857142855</v>
      </c>
      <c r="G12" s="23">
        <v>1</v>
      </c>
      <c r="H12" s="23">
        <v>6</v>
      </c>
      <c r="I12" s="38">
        <f t="shared" si="4"/>
        <v>0.16666666666666666</v>
      </c>
      <c r="J12" s="23">
        <v>4</v>
      </c>
      <c r="K12" s="23">
        <v>5</v>
      </c>
      <c r="L12" s="38">
        <f t="shared" si="5"/>
        <v>0.8</v>
      </c>
      <c r="M12" s="23">
        <v>2</v>
      </c>
      <c r="N12" s="23">
        <v>2</v>
      </c>
      <c r="O12" s="23">
        <v>2</v>
      </c>
      <c r="P12" s="23">
        <v>2</v>
      </c>
      <c r="Q12" s="23">
        <v>1</v>
      </c>
      <c r="R12" s="25">
        <v>17</v>
      </c>
    </row>
    <row r="13" spans="1:18" s="6" customFormat="1" x14ac:dyDescent="0.25">
      <c r="A13" s="26">
        <v>42164</v>
      </c>
      <c r="B13" s="26"/>
      <c r="C13" s="22" t="s">
        <v>66</v>
      </c>
      <c r="D13" s="23">
        <v>4</v>
      </c>
      <c r="E13" s="23">
        <v>6</v>
      </c>
      <c r="F13" s="38">
        <f t="shared" si="3"/>
        <v>0.66666666666666663</v>
      </c>
      <c r="G13" s="23">
        <v>0</v>
      </c>
      <c r="H13" s="23">
        <v>0</v>
      </c>
      <c r="I13" s="38">
        <f t="shared" si="4"/>
        <v>0</v>
      </c>
      <c r="J13" s="23">
        <v>3</v>
      </c>
      <c r="K13" s="23">
        <v>5</v>
      </c>
      <c r="L13" s="38">
        <f t="shared" si="5"/>
        <v>0.6</v>
      </c>
      <c r="M13" s="23">
        <v>6</v>
      </c>
      <c r="N13" s="23">
        <v>1</v>
      </c>
      <c r="O13" s="23">
        <v>0</v>
      </c>
      <c r="P13" s="23">
        <v>0</v>
      </c>
      <c r="Q13" s="23">
        <v>3</v>
      </c>
      <c r="R13" s="25">
        <v>11</v>
      </c>
    </row>
    <row r="14" spans="1:18" x14ac:dyDescent="0.25">
      <c r="A14" s="43">
        <v>42166</v>
      </c>
      <c r="B14" s="43"/>
      <c r="C14" s="22" t="s">
        <v>104</v>
      </c>
      <c r="D14" s="23">
        <v>0</v>
      </c>
      <c r="E14" s="23">
        <v>3</v>
      </c>
      <c r="F14" s="38">
        <f t="shared" si="3"/>
        <v>0</v>
      </c>
      <c r="G14" s="23">
        <v>0</v>
      </c>
      <c r="H14" s="23">
        <v>1</v>
      </c>
      <c r="I14" s="38">
        <f t="shared" si="4"/>
        <v>0</v>
      </c>
      <c r="J14" s="23">
        <v>1</v>
      </c>
      <c r="K14" s="23">
        <v>2</v>
      </c>
      <c r="L14" s="38">
        <f t="shared" si="5"/>
        <v>0.5</v>
      </c>
      <c r="M14" s="23">
        <v>3</v>
      </c>
      <c r="N14" s="23">
        <v>1</v>
      </c>
      <c r="O14" s="23">
        <v>2</v>
      </c>
      <c r="P14" s="23">
        <v>0</v>
      </c>
      <c r="Q14" s="23">
        <v>1</v>
      </c>
      <c r="R14" s="25">
        <v>1</v>
      </c>
    </row>
    <row r="15" spans="1:18" x14ac:dyDescent="0.25">
      <c r="A15" s="43">
        <v>42166</v>
      </c>
      <c r="B15" s="43"/>
      <c r="C15" s="22" t="s">
        <v>68</v>
      </c>
      <c r="D15" s="23">
        <v>8</v>
      </c>
      <c r="E15" s="23">
        <v>20</v>
      </c>
      <c r="F15" s="38">
        <f t="shared" si="3"/>
        <v>0.4</v>
      </c>
      <c r="G15" s="23">
        <v>4</v>
      </c>
      <c r="H15" s="23">
        <v>9</v>
      </c>
      <c r="I15" s="38">
        <f t="shared" si="4"/>
        <v>0.44444444444444442</v>
      </c>
      <c r="J15" s="23">
        <v>9</v>
      </c>
      <c r="K15" s="23">
        <v>9</v>
      </c>
      <c r="L15" s="38">
        <f t="shared" si="5"/>
        <v>1</v>
      </c>
      <c r="M15" s="23">
        <v>4</v>
      </c>
      <c r="N15" s="23">
        <v>3</v>
      </c>
      <c r="O15" s="23">
        <v>2</v>
      </c>
      <c r="P15" s="23">
        <v>3</v>
      </c>
      <c r="Q15" s="23">
        <v>0</v>
      </c>
      <c r="R15" s="25">
        <v>29</v>
      </c>
    </row>
    <row r="16" spans="1:18" x14ac:dyDescent="0.25">
      <c r="A16" s="43">
        <v>42166</v>
      </c>
      <c r="B16" s="43"/>
      <c r="C16" s="22" t="s">
        <v>67</v>
      </c>
      <c r="D16" s="23">
        <v>0</v>
      </c>
      <c r="E16" s="23">
        <v>2</v>
      </c>
      <c r="F16" s="38">
        <f t="shared" si="3"/>
        <v>0</v>
      </c>
      <c r="G16" s="23">
        <v>0</v>
      </c>
      <c r="H16" s="23">
        <v>0</v>
      </c>
      <c r="I16" s="38">
        <f t="shared" si="4"/>
        <v>0</v>
      </c>
      <c r="J16" s="23">
        <v>0</v>
      </c>
      <c r="K16" s="23">
        <v>0</v>
      </c>
      <c r="L16" s="38">
        <f t="shared" si="5"/>
        <v>0</v>
      </c>
      <c r="M16" s="23">
        <v>3</v>
      </c>
      <c r="N16" s="23">
        <v>0</v>
      </c>
      <c r="O16" s="23">
        <v>1</v>
      </c>
      <c r="P16" s="23">
        <v>3</v>
      </c>
      <c r="Q16" s="23">
        <v>0</v>
      </c>
      <c r="R16" s="25">
        <v>0</v>
      </c>
    </row>
    <row r="17" spans="1:18" x14ac:dyDescent="0.25">
      <c r="A17" s="117">
        <v>42166</v>
      </c>
      <c r="B17" s="117"/>
      <c r="C17" s="111" t="s">
        <v>63</v>
      </c>
      <c r="D17" s="112">
        <v>7</v>
      </c>
      <c r="E17" s="112">
        <v>18</v>
      </c>
      <c r="F17" s="114">
        <f t="shared" si="3"/>
        <v>0.3888888888888889</v>
      </c>
      <c r="G17" s="112">
        <v>1</v>
      </c>
      <c r="H17" s="112">
        <v>4</v>
      </c>
      <c r="I17" s="114">
        <f t="shared" si="4"/>
        <v>0.25</v>
      </c>
      <c r="J17" s="112">
        <v>1</v>
      </c>
      <c r="K17" s="112">
        <v>2</v>
      </c>
      <c r="L17" s="114">
        <f t="shared" si="5"/>
        <v>0.5</v>
      </c>
      <c r="M17" s="112">
        <v>3</v>
      </c>
      <c r="N17" s="112">
        <v>2</v>
      </c>
      <c r="O17" s="112">
        <v>2</v>
      </c>
      <c r="P17" s="112">
        <v>0</v>
      </c>
      <c r="Q17" s="112">
        <v>0</v>
      </c>
      <c r="R17" s="115">
        <v>16</v>
      </c>
    </row>
    <row r="18" spans="1:18" x14ac:dyDescent="0.25">
      <c r="A18" s="117">
        <v>42166</v>
      </c>
      <c r="B18" s="117"/>
      <c r="C18" s="111" t="s">
        <v>66</v>
      </c>
      <c r="D18" s="112">
        <v>3</v>
      </c>
      <c r="E18" s="112">
        <v>7</v>
      </c>
      <c r="F18" s="114">
        <f t="shared" si="3"/>
        <v>0.42857142857142855</v>
      </c>
      <c r="G18" s="112">
        <v>0</v>
      </c>
      <c r="H18" s="112">
        <v>1</v>
      </c>
      <c r="I18" s="114">
        <f t="shared" si="4"/>
        <v>0</v>
      </c>
      <c r="J18" s="112">
        <v>0</v>
      </c>
      <c r="K18" s="112">
        <v>0</v>
      </c>
      <c r="L18" s="114">
        <f t="shared" si="5"/>
        <v>0</v>
      </c>
      <c r="M18" s="112">
        <v>11</v>
      </c>
      <c r="N18" s="112">
        <v>2</v>
      </c>
      <c r="O18" s="112">
        <v>0</v>
      </c>
      <c r="P18" s="112">
        <v>0</v>
      </c>
      <c r="Q18" s="112">
        <v>2</v>
      </c>
      <c r="R18" s="115">
        <v>6</v>
      </c>
    </row>
    <row r="19" spans="1:18" x14ac:dyDescent="0.25">
      <c r="A19" s="117">
        <v>42167</v>
      </c>
      <c r="B19" s="117"/>
      <c r="C19" s="111" t="s">
        <v>64</v>
      </c>
      <c r="D19" s="112">
        <v>2</v>
      </c>
      <c r="E19" s="112">
        <v>12</v>
      </c>
      <c r="F19" s="114">
        <f t="shared" si="3"/>
        <v>0.16666666666666666</v>
      </c>
      <c r="G19" s="112">
        <v>1</v>
      </c>
      <c r="H19" s="112">
        <v>8</v>
      </c>
      <c r="I19" s="114">
        <f t="shared" si="4"/>
        <v>0.125</v>
      </c>
      <c r="J19" s="112">
        <v>0</v>
      </c>
      <c r="K19" s="112">
        <v>0</v>
      </c>
      <c r="L19" s="114">
        <f t="shared" si="5"/>
        <v>0</v>
      </c>
      <c r="M19" s="112">
        <v>2</v>
      </c>
      <c r="N19" s="112">
        <v>3</v>
      </c>
      <c r="O19" s="112">
        <v>1</v>
      </c>
      <c r="P19" s="112">
        <v>5</v>
      </c>
      <c r="Q19" s="112">
        <v>0</v>
      </c>
      <c r="R19" s="115">
        <v>5</v>
      </c>
    </row>
    <row r="20" spans="1:18" x14ac:dyDescent="0.25">
      <c r="A20" s="43">
        <v>42167</v>
      </c>
      <c r="B20" s="43"/>
      <c r="C20" s="22" t="s">
        <v>105</v>
      </c>
      <c r="D20" s="23">
        <v>1</v>
      </c>
      <c r="E20" s="23">
        <v>8</v>
      </c>
      <c r="F20" s="38">
        <f t="shared" si="3"/>
        <v>0.125</v>
      </c>
      <c r="G20" s="23">
        <v>1</v>
      </c>
      <c r="H20" s="23">
        <v>1</v>
      </c>
      <c r="I20" s="38">
        <f t="shared" si="4"/>
        <v>1</v>
      </c>
      <c r="J20" s="23">
        <v>1</v>
      </c>
      <c r="K20" s="23">
        <v>2</v>
      </c>
      <c r="L20" s="38">
        <f t="shared" si="5"/>
        <v>0.5</v>
      </c>
      <c r="M20" s="23">
        <v>3</v>
      </c>
      <c r="N20" s="23">
        <v>4</v>
      </c>
      <c r="O20" s="23">
        <v>1</v>
      </c>
      <c r="P20" s="23">
        <v>3</v>
      </c>
      <c r="Q20" s="23">
        <v>1</v>
      </c>
      <c r="R20" s="25">
        <v>4</v>
      </c>
    </row>
    <row r="21" spans="1:18" x14ac:dyDescent="0.25">
      <c r="A21" s="43">
        <v>42167</v>
      </c>
      <c r="B21" s="43"/>
      <c r="C21" s="22" t="s">
        <v>104</v>
      </c>
      <c r="D21" s="23">
        <v>1</v>
      </c>
      <c r="E21" s="23">
        <v>2</v>
      </c>
      <c r="F21" s="38">
        <f t="shared" si="3"/>
        <v>0.5</v>
      </c>
      <c r="G21" s="23">
        <v>0</v>
      </c>
      <c r="H21" s="23">
        <v>0</v>
      </c>
      <c r="I21" s="38">
        <f t="shared" si="4"/>
        <v>0</v>
      </c>
      <c r="J21" s="23">
        <v>0</v>
      </c>
      <c r="K21" s="23">
        <v>0</v>
      </c>
      <c r="L21" s="38">
        <f t="shared" si="5"/>
        <v>0</v>
      </c>
      <c r="M21" s="23">
        <v>2</v>
      </c>
      <c r="N21" s="23">
        <v>1</v>
      </c>
      <c r="O21" s="23">
        <v>0</v>
      </c>
      <c r="P21" s="23">
        <v>0</v>
      </c>
      <c r="Q21" s="23">
        <v>0</v>
      </c>
      <c r="R21" s="25">
        <v>2</v>
      </c>
    </row>
    <row r="22" spans="1:18" x14ac:dyDescent="0.25">
      <c r="A22" s="43">
        <v>42169</v>
      </c>
      <c r="B22" s="43"/>
      <c r="C22" s="22" t="s">
        <v>64</v>
      </c>
      <c r="D22" s="23">
        <v>6</v>
      </c>
      <c r="E22" s="23">
        <v>13</v>
      </c>
      <c r="F22" s="38">
        <f t="shared" ref="F22:F29" si="6">IF(E22=0,0,D22/E22)</f>
        <v>0.46153846153846156</v>
      </c>
      <c r="G22" s="23">
        <v>3</v>
      </c>
      <c r="H22" s="23">
        <v>8</v>
      </c>
      <c r="I22" s="38">
        <f t="shared" ref="I22:I29" si="7">IF(H22=0,0,G22/H22)</f>
        <v>0.375</v>
      </c>
      <c r="J22" s="23">
        <v>5</v>
      </c>
      <c r="K22" s="23">
        <v>6</v>
      </c>
      <c r="L22" s="38">
        <f t="shared" ref="L22:L29" si="8">IF(K22=0,0,J22/K22)</f>
        <v>0.83333333333333337</v>
      </c>
      <c r="M22" s="23">
        <v>3</v>
      </c>
      <c r="N22" s="23">
        <v>3</v>
      </c>
      <c r="O22" s="23">
        <v>3</v>
      </c>
      <c r="P22" s="23">
        <v>2</v>
      </c>
      <c r="Q22" s="23">
        <v>0</v>
      </c>
      <c r="R22" s="25">
        <v>20</v>
      </c>
    </row>
    <row r="23" spans="1:18" x14ac:dyDescent="0.25">
      <c r="A23" s="43">
        <v>42169</v>
      </c>
      <c r="B23" s="43"/>
      <c r="C23" s="22" t="s">
        <v>66</v>
      </c>
      <c r="D23" s="23">
        <v>1</v>
      </c>
      <c r="E23" s="23">
        <v>3</v>
      </c>
      <c r="F23" s="38">
        <f t="shared" si="6"/>
        <v>0.33333333333333331</v>
      </c>
      <c r="G23" s="23">
        <v>0</v>
      </c>
      <c r="H23" s="23">
        <v>0</v>
      </c>
      <c r="I23" s="38">
        <f t="shared" si="7"/>
        <v>0</v>
      </c>
      <c r="J23" s="23">
        <v>0</v>
      </c>
      <c r="K23" s="23">
        <v>0</v>
      </c>
      <c r="L23" s="38">
        <f t="shared" si="8"/>
        <v>0</v>
      </c>
      <c r="M23" s="23">
        <v>5</v>
      </c>
      <c r="N23" s="23">
        <v>0</v>
      </c>
      <c r="O23" s="23">
        <v>1</v>
      </c>
      <c r="P23" s="23">
        <v>1</v>
      </c>
      <c r="Q23" s="23">
        <v>1</v>
      </c>
      <c r="R23" s="25">
        <v>2</v>
      </c>
    </row>
    <row r="24" spans="1:18" x14ac:dyDescent="0.25">
      <c r="A24" s="43">
        <v>42169</v>
      </c>
      <c r="B24" s="43"/>
      <c r="C24" s="22" t="s">
        <v>63</v>
      </c>
      <c r="D24" s="23">
        <v>3</v>
      </c>
      <c r="E24" s="23">
        <v>8</v>
      </c>
      <c r="F24" s="38">
        <f t="shared" si="6"/>
        <v>0.375</v>
      </c>
      <c r="G24" s="23">
        <v>1</v>
      </c>
      <c r="H24" s="23">
        <v>3</v>
      </c>
      <c r="I24" s="38">
        <f t="shared" si="7"/>
        <v>0.33333333333333331</v>
      </c>
      <c r="J24" s="23">
        <v>1</v>
      </c>
      <c r="K24" s="23">
        <v>2</v>
      </c>
      <c r="L24" s="38">
        <f t="shared" si="8"/>
        <v>0.5</v>
      </c>
      <c r="M24" s="23">
        <v>2</v>
      </c>
      <c r="N24" s="23">
        <v>2</v>
      </c>
      <c r="O24" s="23">
        <v>6</v>
      </c>
      <c r="P24" s="23">
        <v>3</v>
      </c>
      <c r="Q24" s="23">
        <v>0</v>
      </c>
      <c r="R24" s="25">
        <v>8</v>
      </c>
    </row>
    <row r="25" spans="1:18" x14ac:dyDescent="0.25">
      <c r="A25" s="43">
        <v>42169</v>
      </c>
      <c r="B25" s="43"/>
      <c r="C25" s="22" t="s">
        <v>67</v>
      </c>
      <c r="D25" s="23">
        <v>1</v>
      </c>
      <c r="E25" s="23">
        <v>2</v>
      </c>
      <c r="F25" s="38">
        <f t="shared" si="6"/>
        <v>0.5</v>
      </c>
      <c r="G25" s="23">
        <v>0</v>
      </c>
      <c r="H25" s="23">
        <v>0</v>
      </c>
      <c r="I25" s="38">
        <f t="shared" si="7"/>
        <v>0</v>
      </c>
      <c r="J25" s="23">
        <v>0</v>
      </c>
      <c r="K25" s="23">
        <v>0</v>
      </c>
      <c r="L25" s="38">
        <f t="shared" si="8"/>
        <v>0</v>
      </c>
      <c r="M25" s="23">
        <v>8</v>
      </c>
      <c r="N25" s="23">
        <v>2</v>
      </c>
      <c r="O25" s="23">
        <v>1</v>
      </c>
      <c r="P25" s="23">
        <v>0</v>
      </c>
      <c r="Q25" s="23">
        <v>0</v>
      </c>
      <c r="R25" s="25">
        <v>2</v>
      </c>
    </row>
    <row r="26" spans="1:18" x14ac:dyDescent="0.25">
      <c r="A26" s="43">
        <v>42169</v>
      </c>
      <c r="B26" s="43"/>
      <c r="C26" s="22" t="s">
        <v>68</v>
      </c>
      <c r="D26" s="23">
        <v>4</v>
      </c>
      <c r="E26" s="23">
        <v>9</v>
      </c>
      <c r="F26" s="38">
        <f t="shared" si="6"/>
        <v>0.44444444444444442</v>
      </c>
      <c r="G26" s="23">
        <v>2</v>
      </c>
      <c r="H26" s="23">
        <v>6</v>
      </c>
      <c r="I26" s="38">
        <f t="shared" si="7"/>
        <v>0.33333333333333331</v>
      </c>
      <c r="J26" s="23">
        <v>7</v>
      </c>
      <c r="K26" s="23">
        <v>8</v>
      </c>
      <c r="L26" s="38">
        <f t="shared" si="8"/>
        <v>0.875</v>
      </c>
      <c r="M26" s="23">
        <v>4</v>
      </c>
      <c r="N26" s="23">
        <v>2</v>
      </c>
      <c r="O26" s="23">
        <v>0</v>
      </c>
      <c r="P26" s="23">
        <v>0</v>
      </c>
      <c r="Q26" s="23">
        <v>0</v>
      </c>
      <c r="R26" s="25">
        <v>17</v>
      </c>
    </row>
    <row r="27" spans="1:18" x14ac:dyDescent="0.25">
      <c r="A27" s="43">
        <v>42169</v>
      </c>
      <c r="B27" s="43"/>
      <c r="C27" s="22" t="s">
        <v>105</v>
      </c>
      <c r="D27" s="23">
        <v>0</v>
      </c>
      <c r="E27" s="23">
        <v>1</v>
      </c>
      <c r="F27" s="38">
        <f t="shared" si="6"/>
        <v>0</v>
      </c>
      <c r="G27" s="23">
        <v>0</v>
      </c>
      <c r="H27" s="23">
        <v>1</v>
      </c>
      <c r="I27" s="38">
        <f t="shared" si="7"/>
        <v>0</v>
      </c>
      <c r="J27" s="23">
        <v>0</v>
      </c>
      <c r="K27" s="23">
        <v>2</v>
      </c>
      <c r="L27" s="38">
        <f t="shared" si="8"/>
        <v>0</v>
      </c>
      <c r="M27" s="23">
        <v>2</v>
      </c>
      <c r="N27" s="23">
        <v>3</v>
      </c>
      <c r="O27" s="23">
        <v>0</v>
      </c>
      <c r="P27" s="23">
        <v>2</v>
      </c>
      <c r="Q27" s="23">
        <v>0</v>
      </c>
      <c r="R27" s="25">
        <v>0</v>
      </c>
    </row>
    <row r="28" spans="1:18" x14ac:dyDescent="0.25">
      <c r="A28" s="43">
        <v>42171</v>
      </c>
      <c r="B28" s="43"/>
      <c r="C28" s="22" t="s">
        <v>68</v>
      </c>
      <c r="D28" s="23">
        <v>1</v>
      </c>
      <c r="E28" s="23">
        <v>9</v>
      </c>
      <c r="F28" s="38">
        <f t="shared" si="6"/>
        <v>0.1111111111111111</v>
      </c>
      <c r="G28" s="23">
        <v>1</v>
      </c>
      <c r="H28" s="23">
        <v>3</v>
      </c>
      <c r="I28" s="38">
        <f t="shared" si="7"/>
        <v>0.33333333333333331</v>
      </c>
      <c r="J28" s="23">
        <v>0</v>
      </c>
      <c r="K28" s="23">
        <v>0</v>
      </c>
      <c r="L28" s="38">
        <f t="shared" si="8"/>
        <v>0</v>
      </c>
      <c r="M28" s="23">
        <v>3</v>
      </c>
      <c r="N28" s="23">
        <v>1</v>
      </c>
      <c r="O28" s="23">
        <v>0</v>
      </c>
      <c r="P28" s="23">
        <v>0</v>
      </c>
      <c r="Q28" s="23">
        <v>0</v>
      </c>
      <c r="R28" s="25">
        <v>3</v>
      </c>
    </row>
    <row r="29" spans="1:18" x14ac:dyDescent="0.25">
      <c r="A29" s="43">
        <v>42171</v>
      </c>
      <c r="B29" s="43"/>
      <c r="C29" s="22" t="s">
        <v>63</v>
      </c>
      <c r="D29" s="23">
        <v>5</v>
      </c>
      <c r="E29" s="23">
        <v>15</v>
      </c>
      <c r="F29" s="38">
        <f t="shared" si="6"/>
        <v>0.33333333333333331</v>
      </c>
      <c r="G29" s="23">
        <v>1</v>
      </c>
      <c r="H29" s="23">
        <v>3</v>
      </c>
      <c r="I29" s="38">
        <f t="shared" si="7"/>
        <v>0.33333333333333331</v>
      </c>
      <c r="J29" s="23">
        <v>1</v>
      </c>
      <c r="K29" s="23">
        <v>1</v>
      </c>
      <c r="L29" s="38">
        <f t="shared" si="8"/>
        <v>1</v>
      </c>
      <c r="M29" s="23">
        <v>2</v>
      </c>
      <c r="N29" s="23">
        <v>1</v>
      </c>
      <c r="O29" s="23">
        <v>3</v>
      </c>
      <c r="P29" s="23">
        <v>1</v>
      </c>
      <c r="Q29" s="23">
        <v>0</v>
      </c>
      <c r="R29" s="25">
        <v>12</v>
      </c>
    </row>
    <row r="30" spans="1:18" x14ac:dyDescent="0.25">
      <c r="A30" s="43">
        <v>42174</v>
      </c>
      <c r="B30" s="43"/>
      <c r="C30" s="22" t="s">
        <v>63</v>
      </c>
      <c r="D30" s="23">
        <v>7</v>
      </c>
      <c r="E30" s="23">
        <v>20</v>
      </c>
      <c r="F30" s="38">
        <f t="shared" ref="F30:F54" si="9">IF(E30=0,0,D30/E30)</f>
        <v>0.35</v>
      </c>
      <c r="G30" s="23">
        <v>1</v>
      </c>
      <c r="H30" s="23">
        <v>6</v>
      </c>
      <c r="I30" s="38">
        <f t="shared" ref="I30:I54" si="10">IF(H30=0,0,G30/H30)</f>
        <v>0.16666666666666666</v>
      </c>
      <c r="J30" s="23">
        <v>4</v>
      </c>
      <c r="K30" s="23">
        <v>4</v>
      </c>
      <c r="L30" s="38">
        <f t="shared" ref="L30:L54" si="11">IF(K30=0,0,J30/K30)</f>
        <v>1</v>
      </c>
      <c r="M30" s="23">
        <v>6</v>
      </c>
      <c r="N30" s="23">
        <v>2</v>
      </c>
      <c r="O30" s="23">
        <v>3</v>
      </c>
      <c r="P30" s="23">
        <v>1</v>
      </c>
      <c r="Q30" s="23">
        <v>0</v>
      </c>
      <c r="R30" s="25">
        <v>19</v>
      </c>
    </row>
    <row r="31" spans="1:18" x14ac:dyDescent="0.25">
      <c r="A31" s="43">
        <v>42174</v>
      </c>
      <c r="B31" s="43"/>
      <c r="C31" s="22" t="s">
        <v>64</v>
      </c>
      <c r="D31" s="23">
        <v>1</v>
      </c>
      <c r="E31" s="23">
        <v>9</v>
      </c>
      <c r="F31" s="38">
        <f t="shared" si="9"/>
        <v>0.1111111111111111</v>
      </c>
      <c r="G31" s="23">
        <v>0</v>
      </c>
      <c r="H31" s="23">
        <v>6</v>
      </c>
      <c r="I31" s="38">
        <f t="shared" si="10"/>
        <v>0</v>
      </c>
      <c r="J31" s="23">
        <v>2</v>
      </c>
      <c r="K31" s="23">
        <v>2</v>
      </c>
      <c r="L31" s="38">
        <f t="shared" si="11"/>
        <v>1</v>
      </c>
      <c r="M31" s="23">
        <v>4</v>
      </c>
      <c r="N31" s="23">
        <v>3</v>
      </c>
      <c r="O31" s="23">
        <v>1</v>
      </c>
      <c r="P31" s="23">
        <v>2</v>
      </c>
      <c r="Q31" s="23">
        <v>0</v>
      </c>
      <c r="R31" s="25">
        <v>4</v>
      </c>
    </row>
    <row r="32" spans="1:18" x14ac:dyDescent="0.25">
      <c r="A32" s="43">
        <v>42174</v>
      </c>
      <c r="B32" s="43"/>
      <c r="C32" s="22" t="s">
        <v>105</v>
      </c>
      <c r="D32" s="23">
        <v>0</v>
      </c>
      <c r="E32" s="23">
        <v>2</v>
      </c>
      <c r="F32" s="38">
        <f t="shared" si="9"/>
        <v>0</v>
      </c>
      <c r="G32" s="23">
        <v>0</v>
      </c>
      <c r="H32" s="23">
        <v>1</v>
      </c>
      <c r="I32" s="38">
        <f t="shared" si="10"/>
        <v>0</v>
      </c>
      <c r="J32" s="23">
        <v>0</v>
      </c>
      <c r="K32" s="23">
        <v>0</v>
      </c>
      <c r="L32" s="38">
        <f t="shared" si="11"/>
        <v>0</v>
      </c>
      <c r="M32" s="23">
        <v>0</v>
      </c>
      <c r="N32" s="23">
        <v>3</v>
      </c>
      <c r="O32" s="23">
        <v>2</v>
      </c>
      <c r="P32" s="23">
        <v>1</v>
      </c>
      <c r="Q32" s="23">
        <v>0</v>
      </c>
      <c r="R32" s="25">
        <v>0</v>
      </c>
    </row>
    <row r="33" spans="1:18" x14ac:dyDescent="0.25">
      <c r="A33" s="21">
        <v>42174</v>
      </c>
      <c r="B33" s="20"/>
      <c r="C33" s="15" t="s">
        <v>66</v>
      </c>
      <c r="D33" s="16">
        <v>2</v>
      </c>
      <c r="E33" s="16">
        <v>2</v>
      </c>
      <c r="F33" s="19">
        <f t="shared" si="9"/>
        <v>1</v>
      </c>
      <c r="G33" s="16">
        <v>0</v>
      </c>
      <c r="H33" s="16">
        <v>0</v>
      </c>
      <c r="I33" s="19">
        <f t="shared" si="10"/>
        <v>0</v>
      </c>
      <c r="J33" s="16">
        <v>0</v>
      </c>
      <c r="K33" s="16">
        <v>0</v>
      </c>
      <c r="L33" s="19">
        <f t="shared" si="11"/>
        <v>0</v>
      </c>
      <c r="M33" s="16">
        <v>8</v>
      </c>
      <c r="N33" s="16">
        <v>1</v>
      </c>
      <c r="O33" s="16">
        <v>0</v>
      </c>
      <c r="P33" s="16">
        <v>1</v>
      </c>
      <c r="Q33" s="16">
        <v>0</v>
      </c>
      <c r="R33" s="16">
        <v>4</v>
      </c>
    </row>
    <row r="34" spans="1:18" x14ac:dyDescent="0.25">
      <c r="A34" s="21">
        <v>42174</v>
      </c>
      <c r="B34" s="20"/>
      <c r="C34" s="15" t="s">
        <v>68</v>
      </c>
      <c r="D34" s="16">
        <v>4</v>
      </c>
      <c r="E34" s="16">
        <v>15</v>
      </c>
      <c r="F34" s="19">
        <f t="shared" si="9"/>
        <v>0.26666666666666666</v>
      </c>
      <c r="G34" s="16">
        <v>1</v>
      </c>
      <c r="H34" s="16">
        <v>6</v>
      </c>
      <c r="I34" s="19">
        <f t="shared" si="10"/>
        <v>0.16666666666666666</v>
      </c>
      <c r="J34" s="16">
        <v>0</v>
      </c>
      <c r="K34" s="16">
        <v>0</v>
      </c>
      <c r="L34" s="19">
        <f t="shared" si="11"/>
        <v>0</v>
      </c>
      <c r="M34" s="16">
        <v>2</v>
      </c>
      <c r="N34" s="16">
        <v>1</v>
      </c>
      <c r="O34" s="16">
        <v>2</v>
      </c>
      <c r="P34" s="16">
        <v>2</v>
      </c>
      <c r="Q34" s="16">
        <v>0</v>
      </c>
      <c r="R34" s="16">
        <v>9</v>
      </c>
    </row>
    <row r="35" spans="1:18" x14ac:dyDescent="0.25">
      <c r="A35" s="21">
        <v>42174</v>
      </c>
      <c r="B35" s="20"/>
      <c r="C35" s="15" t="s">
        <v>67</v>
      </c>
      <c r="D35" s="16">
        <v>0</v>
      </c>
      <c r="E35" s="16">
        <v>3</v>
      </c>
      <c r="F35" s="19">
        <f t="shared" si="9"/>
        <v>0</v>
      </c>
      <c r="G35" s="16">
        <v>0</v>
      </c>
      <c r="H35" s="16">
        <v>0</v>
      </c>
      <c r="I35" s="19">
        <f t="shared" si="10"/>
        <v>0</v>
      </c>
      <c r="J35" s="16">
        <v>0</v>
      </c>
      <c r="K35" s="16">
        <v>0</v>
      </c>
      <c r="L35" s="19">
        <f t="shared" si="11"/>
        <v>0</v>
      </c>
      <c r="M35" s="16">
        <v>3</v>
      </c>
      <c r="N35" s="16">
        <v>0</v>
      </c>
      <c r="O35" s="16">
        <v>0</v>
      </c>
      <c r="P35" s="16">
        <v>2</v>
      </c>
      <c r="Q35" s="16">
        <v>0</v>
      </c>
      <c r="R35" s="16">
        <v>0</v>
      </c>
    </row>
    <row r="36" spans="1:18" x14ac:dyDescent="0.25">
      <c r="A36" s="43">
        <v>42175</v>
      </c>
      <c r="B36" s="43"/>
      <c r="C36" s="22" t="s">
        <v>64</v>
      </c>
      <c r="D36" s="23">
        <v>7</v>
      </c>
      <c r="E36" s="23">
        <v>12</v>
      </c>
      <c r="F36" s="38">
        <f t="shared" si="9"/>
        <v>0.58333333333333337</v>
      </c>
      <c r="G36" s="23">
        <v>6</v>
      </c>
      <c r="H36" s="23">
        <v>8</v>
      </c>
      <c r="I36" s="38">
        <f t="shared" si="10"/>
        <v>0.75</v>
      </c>
      <c r="J36" s="23">
        <v>4</v>
      </c>
      <c r="K36" s="23">
        <v>4</v>
      </c>
      <c r="L36" s="38">
        <f t="shared" si="11"/>
        <v>1</v>
      </c>
      <c r="M36" s="23">
        <v>1</v>
      </c>
      <c r="N36" s="23">
        <v>0</v>
      </c>
      <c r="O36" s="23">
        <v>1</v>
      </c>
      <c r="P36" s="23">
        <v>2</v>
      </c>
      <c r="Q36" s="23">
        <v>0</v>
      </c>
      <c r="R36" s="25">
        <v>24</v>
      </c>
    </row>
    <row r="37" spans="1:18" x14ac:dyDescent="0.25">
      <c r="A37" s="43">
        <v>42175</v>
      </c>
      <c r="B37" s="43"/>
      <c r="C37" s="22" t="s">
        <v>105</v>
      </c>
      <c r="D37" s="23">
        <v>3</v>
      </c>
      <c r="E37" s="23">
        <v>6</v>
      </c>
      <c r="F37" s="38">
        <f t="shared" si="9"/>
        <v>0.5</v>
      </c>
      <c r="G37" s="23">
        <v>1</v>
      </c>
      <c r="H37" s="23">
        <v>2</v>
      </c>
      <c r="I37" s="38">
        <f t="shared" si="10"/>
        <v>0.5</v>
      </c>
      <c r="J37" s="23">
        <v>2</v>
      </c>
      <c r="K37" s="23">
        <v>3</v>
      </c>
      <c r="L37" s="38">
        <f t="shared" si="11"/>
        <v>0.66666666666666663</v>
      </c>
      <c r="M37" s="23">
        <v>5</v>
      </c>
      <c r="N37" s="23">
        <v>4</v>
      </c>
      <c r="O37" s="23">
        <v>1</v>
      </c>
      <c r="P37" s="23">
        <v>3</v>
      </c>
      <c r="Q37" s="23">
        <v>0</v>
      </c>
      <c r="R37" s="25">
        <v>9</v>
      </c>
    </row>
    <row r="38" spans="1:18" x14ac:dyDescent="0.25">
      <c r="A38" s="43">
        <v>42175</v>
      </c>
      <c r="B38" s="43"/>
      <c r="C38" s="22" t="s">
        <v>67</v>
      </c>
      <c r="D38" s="23">
        <v>3</v>
      </c>
      <c r="E38" s="23">
        <v>6</v>
      </c>
      <c r="F38" s="38">
        <f t="shared" si="9"/>
        <v>0.5</v>
      </c>
      <c r="G38" s="23">
        <v>0</v>
      </c>
      <c r="H38" s="23">
        <v>0</v>
      </c>
      <c r="I38" s="38">
        <f t="shared" si="10"/>
        <v>0</v>
      </c>
      <c r="J38" s="23">
        <v>1</v>
      </c>
      <c r="K38" s="23">
        <v>1</v>
      </c>
      <c r="L38" s="38">
        <f t="shared" si="11"/>
        <v>1</v>
      </c>
      <c r="M38" s="23">
        <v>5</v>
      </c>
      <c r="N38" s="23">
        <v>1</v>
      </c>
      <c r="O38" s="23">
        <v>2</v>
      </c>
      <c r="P38" s="23">
        <v>2</v>
      </c>
      <c r="Q38" s="23">
        <v>1</v>
      </c>
      <c r="R38" s="25">
        <v>7</v>
      </c>
    </row>
    <row r="39" spans="1:18" x14ac:dyDescent="0.25">
      <c r="A39" s="43">
        <v>42175</v>
      </c>
      <c r="B39" s="43"/>
      <c r="C39" s="22" t="s">
        <v>68</v>
      </c>
      <c r="D39" s="23">
        <v>5</v>
      </c>
      <c r="E39" s="23">
        <v>17</v>
      </c>
      <c r="F39" s="38">
        <f t="shared" si="9"/>
        <v>0.29411764705882354</v>
      </c>
      <c r="G39" s="23">
        <v>3</v>
      </c>
      <c r="H39" s="23">
        <v>8</v>
      </c>
      <c r="I39" s="38">
        <f t="shared" si="10"/>
        <v>0.375</v>
      </c>
      <c r="J39" s="23">
        <v>2</v>
      </c>
      <c r="K39" s="23">
        <v>2</v>
      </c>
      <c r="L39" s="38">
        <f t="shared" si="11"/>
        <v>1</v>
      </c>
      <c r="M39" s="23">
        <v>6</v>
      </c>
      <c r="N39" s="23">
        <v>1</v>
      </c>
      <c r="O39" s="23">
        <v>1</v>
      </c>
      <c r="P39" s="23">
        <v>4</v>
      </c>
      <c r="Q39" s="23">
        <v>0</v>
      </c>
      <c r="R39" s="25">
        <v>15</v>
      </c>
    </row>
    <row r="40" spans="1:18" x14ac:dyDescent="0.25">
      <c r="A40" s="43">
        <v>42176</v>
      </c>
      <c r="B40" s="43"/>
      <c r="C40" s="22" t="s">
        <v>66</v>
      </c>
      <c r="D40" s="23">
        <v>2</v>
      </c>
      <c r="E40" s="23">
        <v>3</v>
      </c>
      <c r="F40" s="38">
        <f t="shared" si="9"/>
        <v>0.66666666666666663</v>
      </c>
      <c r="G40" s="23">
        <v>0</v>
      </c>
      <c r="H40" s="23">
        <v>0</v>
      </c>
      <c r="I40" s="38">
        <f t="shared" si="10"/>
        <v>0</v>
      </c>
      <c r="J40" s="23">
        <v>0</v>
      </c>
      <c r="K40" s="23">
        <v>1</v>
      </c>
      <c r="L40" s="38">
        <f t="shared" si="11"/>
        <v>0</v>
      </c>
      <c r="M40" s="23">
        <v>3</v>
      </c>
      <c r="N40" s="23">
        <v>0</v>
      </c>
      <c r="O40" s="23">
        <v>0</v>
      </c>
      <c r="P40" s="23">
        <v>1</v>
      </c>
      <c r="Q40" s="23">
        <v>0</v>
      </c>
      <c r="R40" s="25">
        <v>4</v>
      </c>
    </row>
    <row r="41" spans="1:18" x14ac:dyDescent="0.25">
      <c r="A41" s="43">
        <v>42176</v>
      </c>
      <c r="B41" s="43"/>
      <c r="C41" s="22" t="s">
        <v>63</v>
      </c>
      <c r="D41" s="23">
        <v>8</v>
      </c>
      <c r="E41" s="23">
        <v>19</v>
      </c>
      <c r="F41" s="38">
        <f t="shared" si="9"/>
        <v>0.42105263157894735</v>
      </c>
      <c r="G41" s="23">
        <v>2</v>
      </c>
      <c r="H41" s="23">
        <v>6</v>
      </c>
      <c r="I41" s="38">
        <f t="shared" si="10"/>
        <v>0.33333333333333331</v>
      </c>
      <c r="J41" s="23">
        <v>3</v>
      </c>
      <c r="K41" s="23">
        <v>4</v>
      </c>
      <c r="L41" s="38">
        <f t="shared" si="11"/>
        <v>0.75</v>
      </c>
      <c r="M41" s="23">
        <v>5</v>
      </c>
      <c r="N41" s="23">
        <v>0</v>
      </c>
      <c r="O41" s="23">
        <v>3</v>
      </c>
      <c r="P41" s="23">
        <v>0</v>
      </c>
      <c r="Q41" s="23">
        <v>0</v>
      </c>
      <c r="R41" s="25">
        <v>21</v>
      </c>
    </row>
    <row r="42" spans="1:18" x14ac:dyDescent="0.25">
      <c r="A42" s="43">
        <v>42176</v>
      </c>
      <c r="B42" s="43"/>
      <c r="C42" s="22" t="s">
        <v>88</v>
      </c>
      <c r="D42" s="23">
        <v>1</v>
      </c>
      <c r="E42" s="23">
        <v>2</v>
      </c>
      <c r="F42" s="38">
        <f t="shared" si="9"/>
        <v>0.5</v>
      </c>
      <c r="G42" s="23">
        <v>0</v>
      </c>
      <c r="H42" s="23">
        <v>0</v>
      </c>
      <c r="I42" s="38">
        <f t="shared" si="10"/>
        <v>0</v>
      </c>
      <c r="J42" s="23">
        <v>0</v>
      </c>
      <c r="K42" s="23">
        <v>0</v>
      </c>
      <c r="L42" s="38">
        <f t="shared" si="11"/>
        <v>0</v>
      </c>
      <c r="M42" s="23">
        <v>4</v>
      </c>
      <c r="N42" s="23">
        <v>0</v>
      </c>
      <c r="O42" s="23">
        <v>0</v>
      </c>
      <c r="P42" s="23">
        <v>0</v>
      </c>
      <c r="Q42" s="23">
        <v>0</v>
      </c>
      <c r="R42" s="25">
        <v>2</v>
      </c>
    </row>
    <row r="43" spans="1:18" x14ac:dyDescent="0.25">
      <c r="A43" s="43">
        <v>42178</v>
      </c>
      <c r="B43" s="43"/>
      <c r="C43" s="22" t="s">
        <v>118</v>
      </c>
      <c r="D43" s="23">
        <v>5</v>
      </c>
      <c r="E43" s="23">
        <v>12</v>
      </c>
      <c r="F43" s="38">
        <f t="shared" si="9"/>
        <v>0.41666666666666669</v>
      </c>
      <c r="G43" s="23">
        <v>0</v>
      </c>
      <c r="H43" s="23">
        <v>0</v>
      </c>
      <c r="I43" s="38">
        <f t="shared" si="10"/>
        <v>0</v>
      </c>
      <c r="J43" s="23">
        <v>1</v>
      </c>
      <c r="K43" s="23">
        <v>2</v>
      </c>
      <c r="L43" s="38">
        <f t="shared" si="11"/>
        <v>0.5</v>
      </c>
      <c r="M43" s="23">
        <v>6</v>
      </c>
      <c r="N43" s="23">
        <v>5</v>
      </c>
      <c r="O43" s="23">
        <v>1</v>
      </c>
      <c r="P43" s="23">
        <v>2</v>
      </c>
      <c r="Q43" s="23">
        <v>0</v>
      </c>
      <c r="R43" s="25">
        <v>11</v>
      </c>
    </row>
    <row r="44" spans="1:18" x14ac:dyDescent="0.25">
      <c r="A44" s="43">
        <v>42178</v>
      </c>
      <c r="B44" s="43"/>
      <c r="C44" s="22" t="s">
        <v>64</v>
      </c>
      <c r="D44" s="23">
        <v>4</v>
      </c>
      <c r="E44" s="23">
        <v>10</v>
      </c>
      <c r="F44" s="38">
        <f t="shared" si="9"/>
        <v>0.4</v>
      </c>
      <c r="G44" s="23">
        <v>2</v>
      </c>
      <c r="H44" s="23">
        <v>5</v>
      </c>
      <c r="I44" s="38">
        <f t="shared" si="10"/>
        <v>0.4</v>
      </c>
      <c r="J44" s="23">
        <v>3</v>
      </c>
      <c r="K44" s="23">
        <v>5</v>
      </c>
      <c r="L44" s="38">
        <f t="shared" si="11"/>
        <v>0.6</v>
      </c>
      <c r="M44" s="23">
        <v>0</v>
      </c>
      <c r="N44" s="23">
        <v>2</v>
      </c>
      <c r="O44" s="23">
        <v>0</v>
      </c>
      <c r="P44" s="23">
        <v>0</v>
      </c>
      <c r="Q44" s="23">
        <v>0</v>
      </c>
      <c r="R44" s="25">
        <v>13</v>
      </c>
    </row>
    <row r="45" spans="1:18" x14ac:dyDescent="0.25">
      <c r="A45" s="43">
        <v>42178</v>
      </c>
      <c r="B45" s="43"/>
      <c r="C45" s="22" t="s">
        <v>105</v>
      </c>
      <c r="D45" s="23">
        <v>1</v>
      </c>
      <c r="E45" s="23">
        <v>2</v>
      </c>
      <c r="F45" s="38">
        <f t="shared" si="9"/>
        <v>0.5</v>
      </c>
      <c r="G45" s="23">
        <v>0</v>
      </c>
      <c r="H45" s="23">
        <v>0</v>
      </c>
      <c r="I45" s="38">
        <f t="shared" si="10"/>
        <v>0</v>
      </c>
      <c r="J45" s="23">
        <v>4</v>
      </c>
      <c r="K45" s="23">
        <v>4</v>
      </c>
      <c r="L45" s="38">
        <f t="shared" si="11"/>
        <v>1</v>
      </c>
      <c r="M45" s="23">
        <v>3</v>
      </c>
      <c r="N45" s="23">
        <v>2</v>
      </c>
      <c r="O45" s="23">
        <v>1</v>
      </c>
      <c r="P45" s="23">
        <v>1</v>
      </c>
      <c r="Q45" s="23">
        <v>0</v>
      </c>
      <c r="R45" s="25">
        <v>6</v>
      </c>
    </row>
    <row r="46" spans="1:18" x14ac:dyDescent="0.25">
      <c r="A46" s="43">
        <v>42179</v>
      </c>
      <c r="B46" s="43"/>
      <c r="C46" s="22" t="s">
        <v>67</v>
      </c>
      <c r="D46" s="23">
        <v>1</v>
      </c>
      <c r="E46" s="23">
        <v>4</v>
      </c>
      <c r="F46" s="38">
        <f t="shared" si="9"/>
        <v>0.25</v>
      </c>
      <c r="G46" s="23">
        <v>0</v>
      </c>
      <c r="H46" s="23">
        <v>0</v>
      </c>
      <c r="I46" s="38">
        <f t="shared" si="10"/>
        <v>0</v>
      </c>
      <c r="J46" s="23">
        <v>0</v>
      </c>
      <c r="K46" s="23">
        <v>0</v>
      </c>
      <c r="L46" s="38">
        <f t="shared" si="11"/>
        <v>0</v>
      </c>
      <c r="M46" s="23">
        <v>2</v>
      </c>
      <c r="N46" s="23">
        <v>0</v>
      </c>
      <c r="O46" s="23">
        <v>0</v>
      </c>
      <c r="P46" s="23">
        <v>1</v>
      </c>
      <c r="Q46" s="23">
        <v>0</v>
      </c>
      <c r="R46" s="25">
        <v>2</v>
      </c>
    </row>
    <row r="47" spans="1:18" x14ac:dyDescent="0.25">
      <c r="A47" s="43">
        <v>42180</v>
      </c>
      <c r="B47" s="43"/>
      <c r="C47" s="22" t="s">
        <v>68</v>
      </c>
      <c r="D47" s="23">
        <v>5</v>
      </c>
      <c r="E47" s="23">
        <v>17</v>
      </c>
      <c r="F47" s="38">
        <f t="shared" si="9"/>
        <v>0.29411764705882354</v>
      </c>
      <c r="G47" s="23">
        <v>1</v>
      </c>
      <c r="H47" s="23">
        <v>5</v>
      </c>
      <c r="I47" s="38">
        <f t="shared" si="10"/>
        <v>0.2</v>
      </c>
      <c r="J47" s="23">
        <v>0</v>
      </c>
      <c r="K47" s="23">
        <v>0</v>
      </c>
      <c r="L47" s="38">
        <f t="shared" si="11"/>
        <v>0</v>
      </c>
      <c r="M47" s="23">
        <v>5</v>
      </c>
      <c r="N47" s="23">
        <v>3</v>
      </c>
      <c r="O47" s="23">
        <v>1</v>
      </c>
      <c r="P47" s="23">
        <v>2</v>
      </c>
      <c r="Q47" s="23">
        <v>0</v>
      </c>
      <c r="R47" s="25">
        <v>11</v>
      </c>
    </row>
    <row r="48" spans="1:18" x14ac:dyDescent="0.25">
      <c r="A48" s="43">
        <v>42180</v>
      </c>
      <c r="B48" s="43"/>
      <c r="C48" s="22" t="s">
        <v>88</v>
      </c>
      <c r="D48" s="23">
        <v>1</v>
      </c>
      <c r="E48" s="23">
        <v>2</v>
      </c>
      <c r="F48" s="38">
        <f t="shared" si="9"/>
        <v>0.5</v>
      </c>
      <c r="G48" s="23">
        <v>0</v>
      </c>
      <c r="H48" s="23">
        <v>0</v>
      </c>
      <c r="I48" s="38">
        <f t="shared" si="10"/>
        <v>0</v>
      </c>
      <c r="J48" s="23">
        <v>0</v>
      </c>
      <c r="K48" s="23">
        <v>0</v>
      </c>
      <c r="L48" s="38">
        <f t="shared" si="11"/>
        <v>0</v>
      </c>
      <c r="M48" s="23">
        <v>2</v>
      </c>
      <c r="N48" s="23">
        <v>0</v>
      </c>
      <c r="O48" s="23">
        <v>0</v>
      </c>
      <c r="P48" s="23">
        <v>1</v>
      </c>
      <c r="Q48" s="23">
        <v>0</v>
      </c>
      <c r="R48" s="25">
        <v>2</v>
      </c>
    </row>
    <row r="49" spans="1:18" x14ac:dyDescent="0.25">
      <c r="A49" s="43">
        <v>42181</v>
      </c>
      <c r="B49" s="43"/>
      <c r="C49" s="22" t="s">
        <v>64</v>
      </c>
      <c r="D49" s="23">
        <v>6</v>
      </c>
      <c r="E49" s="23">
        <v>12</v>
      </c>
      <c r="F49" s="38">
        <f t="shared" si="9"/>
        <v>0.5</v>
      </c>
      <c r="G49" s="23">
        <v>3</v>
      </c>
      <c r="H49" s="23">
        <v>9</v>
      </c>
      <c r="I49" s="38">
        <f t="shared" si="10"/>
        <v>0.33333333333333331</v>
      </c>
      <c r="J49" s="23">
        <v>3</v>
      </c>
      <c r="K49" s="23">
        <v>4</v>
      </c>
      <c r="L49" s="38">
        <f t="shared" si="11"/>
        <v>0.75</v>
      </c>
      <c r="M49" s="23">
        <v>0</v>
      </c>
      <c r="N49" s="23">
        <v>0</v>
      </c>
      <c r="O49" s="23">
        <v>1</v>
      </c>
      <c r="P49" s="23">
        <v>3</v>
      </c>
      <c r="Q49" s="23">
        <v>0</v>
      </c>
      <c r="R49" s="25">
        <v>18</v>
      </c>
    </row>
    <row r="50" spans="1:18" x14ac:dyDescent="0.25">
      <c r="A50" s="43">
        <v>42181</v>
      </c>
      <c r="B50" s="43"/>
      <c r="C50" s="22" t="s">
        <v>63</v>
      </c>
      <c r="D50" s="23">
        <v>6</v>
      </c>
      <c r="E50" s="23">
        <v>19</v>
      </c>
      <c r="F50" s="38">
        <f t="shared" si="9"/>
        <v>0.31578947368421051</v>
      </c>
      <c r="G50" s="23">
        <v>0</v>
      </c>
      <c r="H50" s="23">
        <v>6</v>
      </c>
      <c r="I50" s="38">
        <f t="shared" si="10"/>
        <v>0</v>
      </c>
      <c r="J50" s="23">
        <v>6</v>
      </c>
      <c r="K50" s="23">
        <v>7</v>
      </c>
      <c r="L50" s="38">
        <f t="shared" si="11"/>
        <v>0.8571428571428571</v>
      </c>
      <c r="M50" s="23">
        <v>2</v>
      </c>
      <c r="N50" s="23">
        <v>0</v>
      </c>
      <c r="O50" s="23">
        <v>4</v>
      </c>
      <c r="P50" s="23">
        <v>0</v>
      </c>
      <c r="Q50" s="23">
        <v>0</v>
      </c>
      <c r="R50" s="25">
        <v>18</v>
      </c>
    </row>
    <row r="51" spans="1:18" x14ac:dyDescent="0.25">
      <c r="A51" s="43">
        <v>42181</v>
      </c>
      <c r="B51" s="43"/>
      <c r="C51" s="22" t="s">
        <v>120</v>
      </c>
      <c r="D51" s="23">
        <v>2</v>
      </c>
      <c r="E51" s="23">
        <v>4</v>
      </c>
      <c r="F51" s="38">
        <f t="shared" si="9"/>
        <v>0.5</v>
      </c>
      <c r="G51" s="23">
        <v>1</v>
      </c>
      <c r="H51" s="23">
        <v>3</v>
      </c>
      <c r="I51" s="38">
        <f t="shared" si="10"/>
        <v>0.33333333333333331</v>
      </c>
      <c r="J51" s="23">
        <v>1</v>
      </c>
      <c r="K51" s="23">
        <v>2</v>
      </c>
      <c r="L51" s="38">
        <f t="shared" si="11"/>
        <v>0.5</v>
      </c>
      <c r="M51" s="23">
        <v>1</v>
      </c>
      <c r="N51" s="23">
        <v>3</v>
      </c>
      <c r="O51" s="23">
        <v>0</v>
      </c>
      <c r="P51" s="23">
        <v>2</v>
      </c>
      <c r="Q51" s="23">
        <v>0</v>
      </c>
      <c r="R51" s="25">
        <v>6</v>
      </c>
    </row>
    <row r="52" spans="1:18" x14ac:dyDescent="0.25">
      <c r="A52" s="43">
        <v>42181</v>
      </c>
      <c r="B52" s="43"/>
      <c r="C52" s="22" t="s">
        <v>66</v>
      </c>
      <c r="D52" s="23">
        <v>2</v>
      </c>
      <c r="E52" s="23">
        <v>3</v>
      </c>
      <c r="F52" s="38">
        <f t="shared" si="9"/>
        <v>0.66666666666666663</v>
      </c>
      <c r="G52" s="23">
        <v>0</v>
      </c>
      <c r="H52" s="23">
        <v>0</v>
      </c>
      <c r="I52" s="38">
        <f t="shared" si="10"/>
        <v>0</v>
      </c>
      <c r="J52" s="23">
        <v>2</v>
      </c>
      <c r="K52" s="23">
        <v>3</v>
      </c>
      <c r="L52" s="38">
        <f t="shared" si="11"/>
        <v>0.66666666666666663</v>
      </c>
      <c r="M52" s="23">
        <v>5</v>
      </c>
      <c r="N52" s="23">
        <v>0</v>
      </c>
      <c r="O52" s="23">
        <v>0</v>
      </c>
      <c r="P52" s="23">
        <v>1</v>
      </c>
      <c r="Q52" s="23">
        <v>4</v>
      </c>
      <c r="R52" s="25">
        <v>6</v>
      </c>
    </row>
    <row r="53" spans="1:18" x14ac:dyDescent="0.25">
      <c r="A53" s="43">
        <v>42181</v>
      </c>
      <c r="B53" s="43"/>
      <c r="C53" s="22" t="s">
        <v>118</v>
      </c>
      <c r="D53" s="23">
        <v>4</v>
      </c>
      <c r="E53" s="23">
        <v>15</v>
      </c>
      <c r="F53" s="38">
        <f t="shared" si="9"/>
        <v>0.26666666666666666</v>
      </c>
      <c r="G53" s="23">
        <v>1</v>
      </c>
      <c r="H53" s="23">
        <v>2</v>
      </c>
      <c r="I53" s="38">
        <f t="shared" si="10"/>
        <v>0.5</v>
      </c>
      <c r="J53" s="23">
        <v>5</v>
      </c>
      <c r="K53" s="23">
        <v>6</v>
      </c>
      <c r="L53" s="38">
        <f t="shared" si="11"/>
        <v>0.83333333333333337</v>
      </c>
      <c r="M53" s="23">
        <v>7</v>
      </c>
      <c r="N53" s="23">
        <v>2</v>
      </c>
      <c r="O53" s="23">
        <v>1</v>
      </c>
      <c r="P53" s="23">
        <v>3</v>
      </c>
      <c r="Q53" s="23">
        <v>1</v>
      </c>
      <c r="R53" s="25">
        <v>14</v>
      </c>
    </row>
    <row r="54" spans="1:18" x14ac:dyDescent="0.25">
      <c r="A54" s="43">
        <v>42181</v>
      </c>
      <c r="B54" s="43"/>
      <c r="C54" s="22" t="s">
        <v>67</v>
      </c>
      <c r="D54" s="23">
        <v>0</v>
      </c>
      <c r="E54" s="23">
        <v>4</v>
      </c>
      <c r="F54" s="38">
        <f t="shared" si="9"/>
        <v>0</v>
      </c>
      <c r="G54" s="23">
        <v>0</v>
      </c>
      <c r="H54" s="23">
        <v>0</v>
      </c>
      <c r="I54" s="38">
        <f t="shared" si="10"/>
        <v>0</v>
      </c>
      <c r="J54" s="23">
        <v>0</v>
      </c>
      <c r="K54" s="23">
        <v>0</v>
      </c>
      <c r="L54" s="38">
        <f t="shared" si="11"/>
        <v>0</v>
      </c>
      <c r="M54" s="23">
        <v>7</v>
      </c>
      <c r="N54" s="23">
        <v>2</v>
      </c>
      <c r="O54" s="23">
        <v>0</v>
      </c>
      <c r="P54" s="23">
        <v>2</v>
      </c>
      <c r="Q54" s="23">
        <v>2</v>
      </c>
      <c r="R54" s="25">
        <v>0</v>
      </c>
    </row>
    <row r="55" spans="1:18" x14ac:dyDescent="0.25">
      <c r="A55" s="43">
        <v>42182</v>
      </c>
      <c r="B55" s="43"/>
      <c r="C55" s="22" t="s">
        <v>88</v>
      </c>
      <c r="D55" s="23">
        <v>7</v>
      </c>
      <c r="E55" s="23">
        <v>13</v>
      </c>
      <c r="F55" s="38">
        <f t="shared" ref="F55:F76" si="12">IF(E55=0,0,D55/E55)</f>
        <v>0.53846153846153844</v>
      </c>
      <c r="G55" s="23">
        <v>0</v>
      </c>
      <c r="H55" s="23">
        <v>0</v>
      </c>
      <c r="I55" s="38">
        <f t="shared" ref="I55:I76" si="13">IF(H55=0,0,G55/H55)</f>
        <v>0</v>
      </c>
      <c r="J55" s="23">
        <v>0</v>
      </c>
      <c r="K55" s="23">
        <v>0</v>
      </c>
      <c r="L55" s="38">
        <f t="shared" ref="L55:L76" si="14">IF(K55=0,0,J55/K55)</f>
        <v>0</v>
      </c>
      <c r="M55" s="23">
        <v>4</v>
      </c>
      <c r="N55" s="23">
        <v>2</v>
      </c>
      <c r="O55" s="23">
        <v>1</v>
      </c>
      <c r="P55" s="23">
        <v>3</v>
      </c>
      <c r="Q55" s="23">
        <v>1</v>
      </c>
      <c r="R55" s="25">
        <v>14</v>
      </c>
    </row>
    <row r="56" spans="1:18" x14ac:dyDescent="0.25">
      <c r="A56" s="43">
        <v>42182</v>
      </c>
      <c r="B56" s="43"/>
      <c r="C56" s="22" t="s">
        <v>68</v>
      </c>
      <c r="D56" s="23">
        <v>9</v>
      </c>
      <c r="E56" s="23">
        <v>16</v>
      </c>
      <c r="F56" s="38">
        <f t="shared" si="12"/>
        <v>0.5625</v>
      </c>
      <c r="G56" s="23">
        <v>3</v>
      </c>
      <c r="H56" s="23">
        <v>8</v>
      </c>
      <c r="I56" s="38">
        <f t="shared" si="13"/>
        <v>0.375</v>
      </c>
      <c r="J56" s="23">
        <v>2</v>
      </c>
      <c r="K56" s="23">
        <v>4</v>
      </c>
      <c r="L56" s="38">
        <f t="shared" si="14"/>
        <v>0.5</v>
      </c>
      <c r="M56" s="23">
        <v>4</v>
      </c>
      <c r="N56" s="23">
        <v>2</v>
      </c>
      <c r="O56" s="23">
        <v>0</v>
      </c>
      <c r="P56" s="23">
        <v>2</v>
      </c>
      <c r="Q56" s="23">
        <v>1</v>
      </c>
      <c r="R56" s="25">
        <v>23</v>
      </c>
    </row>
    <row r="57" spans="1:18" x14ac:dyDescent="0.25">
      <c r="A57" s="43">
        <v>42183</v>
      </c>
      <c r="B57" s="43"/>
      <c r="C57" s="22" t="s">
        <v>64</v>
      </c>
      <c r="D57" s="23">
        <v>5</v>
      </c>
      <c r="E57" s="23">
        <v>10</v>
      </c>
      <c r="F57" s="38">
        <f t="shared" si="12"/>
        <v>0.5</v>
      </c>
      <c r="G57" s="23">
        <v>5</v>
      </c>
      <c r="H57" s="23">
        <v>7</v>
      </c>
      <c r="I57" s="38">
        <f t="shared" si="13"/>
        <v>0.7142857142857143</v>
      </c>
      <c r="J57" s="23">
        <v>1</v>
      </c>
      <c r="K57" s="23">
        <v>1</v>
      </c>
      <c r="L57" s="38">
        <f t="shared" si="14"/>
        <v>1</v>
      </c>
      <c r="M57" s="23">
        <v>4</v>
      </c>
      <c r="N57" s="23">
        <v>5</v>
      </c>
      <c r="O57" s="23">
        <v>1</v>
      </c>
      <c r="P57" s="23">
        <v>1</v>
      </c>
      <c r="Q57" s="23">
        <v>0</v>
      </c>
      <c r="R57" s="25">
        <v>16</v>
      </c>
    </row>
    <row r="58" spans="1:18" x14ac:dyDescent="0.25">
      <c r="A58" s="43">
        <v>42183</v>
      </c>
      <c r="B58" s="43"/>
      <c r="C58" s="22" t="s">
        <v>66</v>
      </c>
      <c r="D58" s="23">
        <v>3</v>
      </c>
      <c r="E58" s="23">
        <v>4</v>
      </c>
      <c r="F58" s="38">
        <f t="shared" si="12"/>
        <v>0.75</v>
      </c>
      <c r="G58" s="23">
        <v>0</v>
      </c>
      <c r="H58" s="23">
        <v>0</v>
      </c>
      <c r="I58" s="38">
        <f t="shared" si="13"/>
        <v>0</v>
      </c>
      <c r="J58" s="23">
        <v>3</v>
      </c>
      <c r="K58" s="23">
        <v>4</v>
      </c>
      <c r="L58" s="38">
        <f t="shared" si="14"/>
        <v>0.75</v>
      </c>
      <c r="M58" s="23">
        <v>3</v>
      </c>
      <c r="N58" s="23">
        <v>0</v>
      </c>
      <c r="O58" s="23">
        <v>1</v>
      </c>
      <c r="P58" s="23">
        <v>0</v>
      </c>
      <c r="Q58" s="23">
        <v>3</v>
      </c>
      <c r="R58" s="25">
        <v>9</v>
      </c>
    </row>
    <row r="59" spans="1:18" x14ac:dyDescent="0.25">
      <c r="A59" s="43">
        <v>42183</v>
      </c>
      <c r="B59" s="43"/>
      <c r="C59" s="22" t="s">
        <v>67</v>
      </c>
      <c r="D59" s="23">
        <v>4</v>
      </c>
      <c r="E59" s="23">
        <v>8</v>
      </c>
      <c r="F59" s="38">
        <f t="shared" si="12"/>
        <v>0.5</v>
      </c>
      <c r="G59" s="23">
        <v>0</v>
      </c>
      <c r="H59" s="23">
        <v>0</v>
      </c>
      <c r="I59" s="38">
        <f t="shared" si="13"/>
        <v>0</v>
      </c>
      <c r="J59" s="23">
        <v>0</v>
      </c>
      <c r="K59" s="23">
        <v>0</v>
      </c>
      <c r="L59" s="38">
        <f t="shared" si="14"/>
        <v>0</v>
      </c>
      <c r="M59" s="23">
        <v>2</v>
      </c>
      <c r="N59" s="23">
        <v>0</v>
      </c>
      <c r="O59" s="23">
        <v>1</v>
      </c>
      <c r="P59" s="23">
        <v>0</v>
      </c>
      <c r="Q59" s="23">
        <v>1</v>
      </c>
      <c r="R59" s="25">
        <v>8</v>
      </c>
    </row>
    <row r="60" spans="1:18" x14ac:dyDescent="0.25">
      <c r="A60" s="43">
        <v>42183</v>
      </c>
      <c r="B60" s="43"/>
      <c r="C60" s="22" t="s">
        <v>118</v>
      </c>
      <c r="D60" s="23">
        <v>2</v>
      </c>
      <c r="E60" s="23">
        <v>12</v>
      </c>
      <c r="F60" s="38">
        <f t="shared" si="12"/>
        <v>0.16666666666666666</v>
      </c>
      <c r="G60" s="23">
        <v>0</v>
      </c>
      <c r="H60" s="23">
        <v>1</v>
      </c>
      <c r="I60" s="38">
        <f t="shared" si="13"/>
        <v>0</v>
      </c>
      <c r="J60" s="23">
        <v>9</v>
      </c>
      <c r="K60" s="23">
        <v>10</v>
      </c>
      <c r="L60" s="38">
        <f t="shared" si="14"/>
        <v>0.9</v>
      </c>
      <c r="M60" s="23">
        <v>16</v>
      </c>
      <c r="N60" s="23">
        <v>4</v>
      </c>
      <c r="O60" s="23">
        <v>0</v>
      </c>
      <c r="P60" s="23">
        <v>1</v>
      </c>
      <c r="Q60" s="23">
        <v>0</v>
      </c>
      <c r="R60" s="25">
        <v>13</v>
      </c>
    </row>
    <row r="61" spans="1:18" x14ac:dyDescent="0.25">
      <c r="A61" s="43">
        <v>42183</v>
      </c>
      <c r="B61" s="43"/>
      <c r="C61" s="22" t="s">
        <v>88</v>
      </c>
      <c r="D61" s="23">
        <v>10</v>
      </c>
      <c r="E61" s="23">
        <v>15</v>
      </c>
      <c r="F61" s="38">
        <f t="shared" si="12"/>
        <v>0.66666666666666663</v>
      </c>
      <c r="G61" s="23">
        <v>0</v>
      </c>
      <c r="H61" s="23">
        <v>0</v>
      </c>
      <c r="I61" s="38">
        <f t="shared" si="13"/>
        <v>0</v>
      </c>
      <c r="J61" s="23">
        <v>1</v>
      </c>
      <c r="K61" s="23">
        <v>1</v>
      </c>
      <c r="L61" s="38">
        <f t="shared" si="14"/>
        <v>1</v>
      </c>
      <c r="M61" s="23">
        <v>3</v>
      </c>
      <c r="N61" s="23">
        <v>2</v>
      </c>
      <c r="O61" s="23">
        <v>0</v>
      </c>
      <c r="P61" s="23">
        <v>0</v>
      </c>
      <c r="Q61" s="23">
        <v>2</v>
      </c>
      <c r="R61" s="25">
        <v>21</v>
      </c>
    </row>
    <row r="62" spans="1:18" x14ac:dyDescent="0.25">
      <c r="A62" s="43">
        <v>42185</v>
      </c>
      <c r="B62" s="43"/>
      <c r="C62" s="22" t="s">
        <v>63</v>
      </c>
      <c r="D62" s="23">
        <v>8</v>
      </c>
      <c r="E62" s="23">
        <v>17</v>
      </c>
      <c r="F62" s="38">
        <f t="shared" si="12"/>
        <v>0.47058823529411764</v>
      </c>
      <c r="G62" s="23">
        <v>2</v>
      </c>
      <c r="H62" s="23">
        <v>5</v>
      </c>
      <c r="I62" s="38">
        <f t="shared" si="13"/>
        <v>0.4</v>
      </c>
      <c r="J62" s="23">
        <v>0</v>
      </c>
      <c r="K62" s="23">
        <v>0</v>
      </c>
      <c r="L62" s="38">
        <f t="shared" si="14"/>
        <v>0</v>
      </c>
      <c r="M62" s="23">
        <v>0</v>
      </c>
      <c r="N62" s="23">
        <v>6</v>
      </c>
      <c r="O62" s="23">
        <v>1</v>
      </c>
      <c r="P62" s="23">
        <v>2</v>
      </c>
      <c r="Q62" s="23">
        <v>0</v>
      </c>
      <c r="R62" s="25">
        <v>18</v>
      </c>
    </row>
    <row r="63" spans="1:18" x14ac:dyDescent="0.25">
      <c r="A63" s="21">
        <v>42185</v>
      </c>
      <c r="B63" s="20"/>
      <c r="C63" s="15" t="s">
        <v>66</v>
      </c>
      <c r="D63" s="16">
        <v>3</v>
      </c>
      <c r="E63" s="16">
        <v>4</v>
      </c>
      <c r="F63" s="46">
        <f t="shared" si="12"/>
        <v>0.75</v>
      </c>
      <c r="G63" s="16">
        <v>0</v>
      </c>
      <c r="H63" s="16">
        <v>0</v>
      </c>
      <c r="I63" s="46">
        <f t="shared" si="13"/>
        <v>0</v>
      </c>
      <c r="J63" s="16">
        <v>5</v>
      </c>
      <c r="K63" s="16">
        <v>6</v>
      </c>
      <c r="L63" s="46">
        <f t="shared" si="14"/>
        <v>0.83333333333333337</v>
      </c>
      <c r="M63" s="16">
        <v>10</v>
      </c>
      <c r="N63" s="16">
        <v>4</v>
      </c>
      <c r="O63" s="16">
        <v>1</v>
      </c>
      <c r="P63" s="16">
        <v>1</v>
      </c>
      <c r="Q63" s="16">
        <v>2</v>
      </c>
      <c r="R63" s="16">
        <v>11</v>
      </c>
    </row>
    <row r="64" spans="1:18" x14ac:dyDescent="0.25">
      <c r="A64" s="21">
        <v>42185</v>
      </c>
      <c r="B64" s="20"/>
      <c r="C64" s="15" t="s">
        <v>67</v>
      </c>
      <c r="D64" s="16">
        <v>2</v>
      </c>
      <c r="E64" s="16">
        <v>4</v>
      </c>
      <c r="F64" s="46">
        <f t="shared" si="12"/>
        <v>0.5</v>
      </c>
      <c r="G64" s="16">
        <v>0</v>
      </c>
      <c r="H64" s="16">
        <v>0</v>
      </c>
      <c r="I64" s="46">
        <f t="shared" si="13"/>
        <v>0</v>
      </c>
      <c r="J64" s="16">
        <v>1</v>
      </c>
      <c r="K64" s="16">
        <v>1</v>
      </c>
      <c r="L64" s="46">
        <f t="shared" si="14"/>
        <v>1</v>
      </c>
      <c r="M64" s="16">
        <v>6</v>
      </c>
      <c r="N64" s="16">
        <v>0</v>
      </c>
      <c r="O64" s="16">
        <v>1</v>
      </c>
      <c r="P64" s="16">
        <v>0</v>
      </c>
      <c r="Q64" s="16">
        <v>0</v>
      </c>
      <c r="R64" s="16">
        <v>5</v>
      </c>
    </row>
    <row r="65" spans="1:18" x14ac:dyDescent="0.25">
      <c r="A65" s="21">
        <v>42185</v>
      </c>
      <c r="B65" s="20"/>
      <c r="C65" s="15" t="s">
        <v>68</v>
      </c>
      <c r="D65" s="16">
        <v>7</v>
      </c>
      <c r="E65" s="16">
        <v>15</v>
      </c>
      <c r="F65" s="46">
        <f t="shared" si="12"/>
        <v>0.46666666666666667</v>
      </c>
      <c r="G65" s="16">
        <v>4</v>
      </c>
      <c r="H65" s="16">
        <v>9</v>
      </c>
      <c r="I65" s="46">
        <f t="shared" si="13"/>
        <v>0.44444444444444442</v>
      </c>
      <c r="J65" s="16">
        <v>0</v>
      </c>
      <c r="K65" s="16">
        <v>0</v>
      </c>
      <c r="L65" s="46">
        <f t="shared" si="14"/>
        <v>0</v>
      </c>
      <c r="M65" s="16">
        <v>2</v>
      </c>
      <c r="N65" s="16">
        <v>1</v>
      </c>
      <c r="O65" s="16">
        <v>5</v>
      </c>
      <c r="P65" s="16">
        <v>0</v>
      </c>
      <c r="Q65" s="16">
        <v>0</v>
      </c>
      <c r="R65" s="16">
        <v>18</v>
      </c>
    </row>
    <row r="66" spans="1:18" x14ac:dyDescent="0.25">
      <c r="A66" s="21">
        <v>42185</v>
      </c>
      <c r="B66" s="20"/>
      <c r="C66" s="15" t="s">
        <v>88</v>
      </c>
      <c r="D66" s="16">
        <v>6</v>
      </c>
      <c r="E66" s="16">
        <v>10</v>
      </c>
      <c r="F66" s="46">
        <f t="shared" si="12"/>
        <v>0.6</v>
      </c>
      <c r="G66" s="16">
        <v>0</v>
      </c>
      <c r="H66" s="16">
        <v>0</v>
      </c>
      <c r="I66" s="46">
        <f t="shared" si="13"/>
        <v>0</v>
      </c>
      <c r="J66" s="16">
        <v>0</v>
      </c>
      <c r="K66" s="16">
        <v>0</v>
      </c>
      <c r="L66" s="46">
        <f t="shared" si="14"/>
        <v>0</v>
      </c>
      <c r="M66" s="16">
        <v>3</v>
      </c>
      <c r="N66" s="16">
        <v>2</v>
      </c>
      <c r="O66" s="16">
        <v>0</v>
      </c>
      <c r="P66" s="16">
        <v>1</v>
      </c>
      <c r="Q66" s="16">
        <v>4</v>
      </c>
      <c r="R66" s="16">
        <v>12</v>
      </c>
    </row>
    <row r="67" spans="1:18" x14ac:dyDescent="0.25">
      <c r="A67" s="14">
        <v>42187</v>
      </c>
      <c r="B67" s="15"/>
      <c r="C67" s="50" t="s">
        <v>131</v>
      </c>
      <c r="D67" s="48">
        <v>11</v>
      </c>
      <c r="E67" s="48">
        <v>24</v>
      </c>
      <c r="F67" s="49">
        <f t="shared" si="12"/>
        <v>0.45833333333333331</v>
      </c>
      <c r="G67" s="48">
        <v>2</v>
      </c>
      <c r="H67" s="48">
        <v>5</v>
      </c>
      <c r="I67" s="49">
        <f t="shared" si="13"/>
        <v>0.4</v>
      </c>
      <c r="J67" s="48">
        <v>1</v>
      </c>
      <c r="K67" s="48">
        <v>1</v>
      </c>
      <c r="L67" s="49">
        <f t="shared" si="14"/>
        <v>1</v>
      </c>
      <c r="M67" s="48">
        <v>4</v>
      </c>
      <c r="N67" s="48">
        <v>3</v>
      </c>
      <c r="O67" s="48">
        <v>2</v>
      </c>
      <c r="P67" s="48">
        <v>0</v>
      </c>
      <c r="Q67" s="48">
        <v>0</v>
      </c>
      <c r="R67" s="48">
        <v>25</v>
      </c>
    </row>
    <row r="68" spans="1:18" x14ac:dyDescent="0.25">
      <c r="A68" s="21">
        <v>42187</v>
      </c>
      <c r="B68" s="20"/>
      <c r="C68" s="15" t="s">
        <v>64</v>
      </c>
      <c r="D68" s="16">
        <v>2</v>
      </c>
      <c r="E68" s="16">
        <v>6</v>
      </c>
      <c r="F68" s="46">
        <f t="shared" si="12"/>
        <v>0.33333333333333331</v>
      </c>
      <c r="G68" s="16">
        <v>1</v>
      </c>
      <c r="H68" s="16">
        <v>4</v>
      </c>
      <c r="I68" s="46">
        <f t="shared" si="13"/>
        <v>0.25</v>
      </c>
      <c r="J68" s="16">
        <v>0</v>
      </c>
      <c r="K68" s="16">
        <v>0</v>
      </c>
      <c r="L68" s="46">
        <f t="shared" si="14"/>
        <v>0</v>
      </c>
      <c r="M68" s="16">
        <v>3</v>
      </c>
      <c r="N68" s="16">
        <v>3</v>
      </c>
      <c r="O68" s="16">
        <v>0</v>
      </c>
      <c r="P68" s="16">
        <v>2</v>
      </c>
      <c r="Q68" s="16">
        <v>0</v>
      </c>
      <c r="R68" s="16">
        <v>5</v>
      </c>
    </row>
    <row r="69" spans="1:18" x14ac:dyDescent="0.25">
      <c r="A69" s="21">
        <v>42187</v>
      </c>
      <c r="B69" s="20"/>
      <c r="C69" s="15" t="s">
        <v>130</v>
      </c>
      <c r="D69" s="16">
        <v>0</v>
      </c>
      <c r="E69" s="16">
        <v>2</v>
      </c>
      <c r="F69" s="46">
        <f t="shared" si="12"/>
        <v>0</v>
      </c>
      <c r="G69" s="16">
        <v>0</v>
      </c>
      <c r="H69" s="16">
        <v>1</v>
      </c>
      <c r="I69" s="46">
        <f t="shared" si="13"/>
        <v>0</v>
      </c>
      <c r="J69" s="16">
        <v>2</v>
      </c>
      <c r="K69" s="16">
        <v>2</v>
      </c>
      <c r="L69" s="46">
        <f t="shared" si="14"/>
        <v>1</v>
      </c>
      <c r="M69" s="16">
        <v>1</v>
      </c>
      <c r="N69" s="16">
        <v>2</v>
      </c>
      <c r="O69" s="16">
        <v>0</v>
      </c>
      <c r="P69" s="16">
        <v>2</v>
      </c>
      <c r="Q69" s="16">
        <v>0</v>
      </c>
      <c r="R69" s="16">
        <v>2</v>
      </c>
    </row>
    <row r="70" spans="1:18" x14ac:dyDescent="0.25">
      <c r="A70" s="43">
        <v>42187</v>
      </c>
      <c r="B70" s="43"/>
      <c r="C70" s="22" t="s">
        <v>68</v>
      </c>
      <c r="D70" s="23">
        <v>3</v>
      </c>
      <c r="E70" s="23">
        <v>5</v>
      </c>
      <c r="F70" s="38">
        <f t="shared" si="12"/>
        <v>0.6</v>
      </c>
      <c r="G70" s="23">
        <v>0</v>
      </c>
      <c r="H70" s="23">
        <v>2</v>
      </c>
      <c r="I70" s="38">
        <f t="shared" si="13"/>
        <v>0</v>
      </c>
      <c r="J70" s="23">
        <v>4</v>
      </c>
      <c r="K70" s="23">
        <v>6</v>
      </c>
      <c r="L70" s="38">
        <f t="shared" si="14"/>
        <v>0.66666666666666663</v>
      </c>
      <c r="M70" s="23">
        <v>2</v>
      </c>
      <c r="N70" s="23">
        <v>4</v>
      </c>
      <c r="O70" s="23">
        <v>1</v>
      </c>
      <c r="P70" s="23">
        <v>4</v>
      </c>
      <c r="Q70" s="23">
        <v>0</v>
      </c>
      <c r="R70" s="25">
        <v>10</v>
      </c>
    </row>
    <row r="71" spans="1:18" x14ac:dyDescent="0.25">
      <c r="A71" s="26">
        <v>42187</v>
      </c>
      <c r="B71" s="26"/>
      <c r="C71" s="52" t="s">
        <v>129</v>
      </c>
      <c r="D71" s="53">
        <v>5</v>
      </c>
      <c r="E71" s="53">
        <v>9</v>
      </c>
      <c r="F71" s="24">
        <f t="shared" si="12"/>
        <v>0.55555555555555558</v>
      </c>
      <c r="G71" s="53">
        <v>0</v>
      </c>
      <c r="H71" s="53">
        <v>0</v>
      </c>
      <c r="I71" s="24">
        <f t="shared" si="13"/>
        <v>0</v>
      </c>
      <c r="J71" s="53">
        <v>0</v>
      </c>
      <c r="K71" s="53">
        <v>0</v>
      </c>
      <c r="L71" s="24">
        <f t="shared" si="14"/>
        <v>0</v>
      </c>
      <c r="M71" s="53">
        <v>5</v>
      </c>
      <c r="N71" s="53">
        <v>2</v>
      </c>
      <c r="O71" s="53">
        <v>1</v>
      </c>
      <c r="P71" s="53">
        <v>2</v>
      </c>
      <c r="Q71" s="53">
        <v>0</v>
      </c>
      <c r="R71" s="54">
        <v>10</v>
      </c>
    </row>
    <row r="72" spans="1:18" x14ac:dyDescent="0.25">
      <c r="A72" s="43">
        <v>42187</v>
      </c>
      <c r="B72" s="43"/>
      <c r="C72" s="22" t="s">
        <v>118</v>
      </c>
      <c r="D72" s="23">
        <v>11</v>
      </c>
      <c r="E72" s="23">
        <v>20</v>
      </c>
      <c r="F72" s="38">
        <f t="shared" si="12"/>
        <v>0.55000000000000004</v>
      </c>
      <c r="G72" s="23">
        <v>0</v>
      </c>
      <c r="H72" s="23">
        <v>1</v>
      </c>
      <c r="I72" s="38">
        <f t="shared" si="13"/>
        <v>0</v>
      </c>
      <c r="J72" s="23">
        <v>5</v>
      </c>
      <c r="K72" s="23">
        <v>5</v>
      </c>
      <c r="L72" s="38">
        <f t="shared" si="14"/>
        <v>1</v>
      </c>
      <c r="M72" s="23">
        <v>8</v>
      </c>
      <c r="N72" s="23">
        <v>2</v>
      </c>
      <c r="O72" s="23">
        <v>2</v>
      </c>
      <c r="P72" s="23">
        <v>1</v>
      </c>
      <c r="Q72" s="23">
        <v>0</v>
      </c>
      <c r="R72" s="25">
        <v>27</v>
      </c>
    </row>
    <row r="73" spans="1:18" x14ac:dyDescent="0.25">
      <c r="A73" s="43">
        <v>42188</v>
      </c>
      <c r="B73" s="43"/>
      <c r="C73" s="22" t="s">
        <v>118</v>
      </c>
      <c r="D73" s="23">
        <v>7</v>
      </c>
      <c r="E73" s="23">
        <v>14</v>
      </c>
      <c r="F73" s="38">
        <f t="shared" si="12"/>
        <v>0.5</v>
      </c>
      <c r="G73" s="23">
        <v>0</v>
      </c>
      <c r="H73" s="23">
        <v>1</v>
      </c>
      <c r="I73" s="38">
        <f t="shared" si="13"/>
        <v>0</v>
      </c>
      <c r="J73" s="23">
        <v>5</v>
      </c>
      <c r="K73" s="23">
        <v>8</v>
      </c>
      <c r="L73" s="38">
        <f t="shared" si="14"/>
        <v>0.625</v>
      </c>
      <c r="M73" s="23">
        <v>10</v>
      </c>
      <c r="N73" s="23">
        <v>1</v>
      </c>
      <c r="O73" s="23">
        <v>2</v>
      </c>
      <c r="P73" s="23">
        <v>1</v>
      </c>
      <c r="Q73" s="23">
        <v>1</v>
      </c>
      <c r="R73" s="25">
        <v>19</v>
      </c>
    </row>
    <row r="74" spans="1:18" x14ac:dyDescent="0.25">
      <c r="A74" s="43">
        <v>42188</v>
      </c>
      <c r="B74" s="43"/>
      <c r="C74" s="22" t="s">
        <v>88</v>
      </c>
      <c r="D74" s="23">
        <v>2</v>
      </c>
      <c r="E74" s="23">
        <v>7</v>
      </c>
      <c r="F74" s="38">
        <f t="shared" si="12"/>
        <v>0.2857142857142857</v>
      </c>
      <c r="G74" s="23">
        <v>0</v>
      </c>
      <c r="H74" s="23">
        <v>0</v>
      </c>
      <c r="I74" s="38">
        <f t="shared" si="13"/>
        <v>0</v>
      </c>
      <c r="J74" s="23">
        <v>1</v>
      </c>
      <c r="K74" s="23">
        <v>1</v>
      </c>
      <c r="L74" s="38">
        <f t="shared" si="14"/>
        <v>1</v>
      </c>
      <c r="M74" s="23">
        <v>1</v>
      </c>
      <c r="N74" s="23">
        <v>0</v>
      </c>
      <c r="O74" s="23">
        <v>1</v>
      </c>
      <c r="P74" s="23">
        <v>1</v>
      </c>
      <c r="Q74" s="23">
        <v>0</v>
      </c>
      <c r="R74" s="25">
        <v>5</v>
      </c>
    </row>
    <row r="75" spans="1:18" x14ac:dyDescent="0.25">
      <c r="A75" s="43">
        <v>42190</v>
      </c>
      <c r="B75" s="43"/>
      <c r="C75" s="22" t="s">
        <v>118</v>
      </c>
      <c r="D75" s="23">
        <v>10</v>
      </c>
      <c r="E75" s="23">
        <v>20</v>
      </c>
      <c r="F75" s="38">
        <f t="shared" si="12"/>
        <v>0.5</v>
      </c>
      <c r="G75" s="23">
        <v>0</v>
      </c>
      <c r="H75" s="23">
        <v>1</v>
      </c>
      <c r="I75" s="38">
        <f t="shared" si="13"/>
        <v>0</v>
      </c>
      <c r="J75" s="23">
        <v>6</v>
      </c>
      <c r="K75" s="23">
        <v>7</v>
      </c>
      <c r="L75" s="38">
        <f t="shared" si="14"/>
        <v>0.8571428571428571</v>
      </c>
      <c r="M75" s="23">
        <v>19</v>
      </c>
      <c r="N75" s="23">
        <v>2</v>
      </c>
      <c r="O75" s="23">
        <v>1</v>
      </c>
      <c r="P75" s="23">
        <v>0</v>
      </c>
      <c r="Q75" s="23">
        <v>1</v>
      </c>
      <c r="R75" s="25">
        <v>26</v>
      </c>
    </row>
    <row r="76" spans="1:18" x14ac:dyDescent="0.25">
      <c r="A76" s="21">
        <v>42190</v>
      </c>
      <c r="B76" s="20"/>
      <c r="C76" s="15" t="s">
        <v>88</v>
      </c>
      <c r="D76" s="16">
        <v>4</v>
      </c>
      <c r="E76" s="16">
        <v>5</v>
      </c>
      <c r="F76" s="46">
        <f t="shared" si="12"/>
        <v>0.8</v>
      </c>
      <c r="G76" s="16">
        <v>0</v>
      </c>
      <c r="H76" s="16">
        <v>0</v>
      </c>
      <c r="I76" s="46">
        <f t="shared" si="13"/>
        <v>0</v>
      </c>
      <c r="J76" s="16">
        <v>3</v>
      </c>
      <c r="K76" s="16">
        <v>3</v>
      </c>
      <c r="L76" s="46">
        <f t="shared" si="14"/>
        <v>1</v>
      </c>
      <c r="M76" s="16">
        <v>3</v>
      </c>
      <c r="N76" s="16">
        <v>1</v>
      </c>
      <c r="O76" s="16">
        <v>0</v>
      </c>
      <c r="P76" s="16">
        <v>1</v>
      </c>
      <c r="Q76" s="16">
        <v>2</v>
      </c>
      <c r="R76" s="16">
        <v>11</v>
      </c>
    </row>
    <row r="77" spans="1:18" x14ac:dyDescent="0.25">
      <c r="A77" s="21">
        <v>42193</v>
      </c>
      <c r="B77" s="20"/>
      <c r="C77" s="15" t="s">
        <v>88</v>
      </c>
      <c r="D77" s="16">
        <v>1</v>
      </c>
      <c r="E77" s="16">
        <v>5</v>
      </c>
      <c r="F77" s="51">
        <f t="shared" ref="F77:F85" si="15">IF(E77=0,0,D77/E77)</f>
        <v>0.2</v>
      </c>
      <c r="G77" s="16">
        <v>0</v>
      </c>
      <c r="H77" s="16">
        <v>0</v>
      </c>
      <c r="I77" s="51">
        <f t="shared" ref="I77:I85" si="16">IF(H77=0,0,G77/H77)</f>
        <v>0</v>
      </c>
      <c r="J77" s="16">
        <v>2</v>
      </c>
      <c r="K77" s="16">
        <v>2</v>
      </c>
      <c r="L77" s="51">
        <f t="shared" ref="L77:L85" si="17">IF(K77=0,0,J77/K77)</f>
        <v>1</v>
      </c>
      <c r="M77" s="16">
        <v>3</v>
      </c>
      <c r="N77" s="16">
        <v>0</v>
      </c>
      <c r="O77" s="16">
        <v>0</v>
      </c>
      <c r="P77" s="16">
        <v>0</v>
      </c>
      <c r="Q77" s="16">
        <v>1</v>
      </c>
      <c r="R77" s="16">
        <v>4</v>
      </c>
    </row>
    <row r="78" spans="1:18" x14ac:dyDescent="0.25">
      <c r="A78" s="21">
        <v>42193</v>
      </c>
      <c r="B78" s="20"/>
      <c r="C78" s="15" t="s">
        <v>118</v>
      </c>
      <c r="D78" s="16">
        <v>7</v>
      </c>
      <c r="E78" s="16">
        <v>12</v>
      </c>
      <c r="F78" s="51">
        <f t="shared" si="15"/>
        <v>0.58333333333333337</v>
      </c>
      <c r="G78" s="16">
        <v>0</v>
      </c>
      <c r="H78" s="16">
        <v>0</v>
      </c>
      <c r="I78" s="51">
        <f t="shared" si="16"/>
        <v>0</v>
      </c>
      <c r="J78" s="16">
        <v>2</v>
      </c>
      <c r="K78" s="16">
        <v>3</v>
      </c>
      <c r="L78" s="51">
        <f t="shared" si="17"/>
        <v>0.66666666666666663</v>
      </c>
      <c r="M78" s="16">
        <v>13</v>
      </c>
      <c r="N78" s="16">
        <v>2</v>
      </c>
      <c r="O78" s="16">
        <v>0</v>
      </c>
      <c r="P78" s="16">
        <v>5</v>
      </c>
      <c r="Q78" s="16">
        <v>3</v>
      </c>
      <c r="R78" s="16">
        <v>16</v>
      </c>
    </row>
    <row r="79" spans="1:18" x14ac:dyDescent="0.25">
      <c r="A79" s="43">
        <v>42193</v>
      </c>
      <c r="B79" s="43"/>
      <c r="C79" s="22" t="s">
        <v>130</v>
      </c>
      <c r="D79" s="23">
        <v>4</v>
      </c>
      <c r="E79" s="23">
        <v>9</v>
      </c>
      <c r="F79" s="38">
        <f t="shared" si="15"/>
        <v>0.44444444444444442</v>
      </c>
      <c r="G79" s="23">
        <v>1</v>
      </c>
      <c r="H79" s="23">
        <v>1</v>
      </c>
      <c r="I79" s="38">
        <f t="shared" si="16"/>
        <v>1</v>
      </c>
      <c r="J79" s="23">
        <v>0</v>
      </c>
      <c r="K79" s="23">
        <v>0</v>
      </c>
      <c r="L79" s="38">
        <f t="shared" si="17"/>
        <v>0</v>
      </c>
      <c r="M79" s="23">
        <v>4</v>
      </c>
      <c r="N79" s="23">
        <v>5</v>
      </c>
      <c r="O79" s="23">
        <v>3</v>
      </c>
      <c r="P79" s="23">
        <v>2</v>
      </c>
      <c r="Q79" s="23">
        <v>1</v>
      </c>
      <c r="R79" s="25">
        <v>9</v>
      </c>
    </row>
    <row r="80" spans="1:18" x14ac:dyDescent="0.25">
      <c r="A80" s="43">
        <v>42194</v>
      </c>
      <c r="B80" s="43"/>
      <c r="C80" s="22" t="s">
        <v>64</v>
      </c>
      <c r="D80" s="23">
        <v>4</v>
      </c>
      <c r="E80" s="23">
        <v>8</v>
      </c>
      <c r="F80" s="38">
        <f t="shared" si="15"/>
        <v>0.5</v>
      </c>
      <c r="G80" s="23">
        <v>3</v>
      </c>
      <c r="H80" s="23">
        <v>6</v>
      </c>
      <c r="I80" s="38">
        <f t="shared" si="16"/>
        <v>0.5</v>
      </c>
      <c r="J80" s="23">
        <v>1</v>
      </c>
      <c r="K80" s="23">
        <v>1</v>
      </c>
      <c r="L80" s="38">
        <f t="shared" si="17"/>
        <v>1</v>
      </c>
      <c r="M80" s="23">
        <v>0</v>
      </c>
      <c r="N80" s="23">
        <v>2</v>
      </c>
      <c r="O80" s="23">
        <v>0</v>
      </c>
      <c r="P80" s="23">
        <v>0</v>
      </c>
      <c r="Q80" s="23">
        <v>0</v>
      </c>
      <c r="R80" s="25">
        <v>12</v>
      </c>
    </row>
    <row r="81" spans="1:18" x14ac:dyDescent="0.25">
      <c r="A81" s="43">
        <v>42194</v>
      </c>
      <c r="B81" s="43"/>
      <c r="C81" s="22" t="s">
        <v>66</v>
      </c>
      <c r="D81" s="23">
        <v>1</v>
      </c>
      <c r="E81" s="23">
        <v>3</v>
      </c>
      <c r="F81" s="38">
        <f t="shared" si="15"/>
        <v>0.33333333333333331</v>
      </c>
      <c r="G81" s="23">
        <v>0</v>
      </c>
      <c r="H81" s="23">
        <v>0</v>
      </c>
      <c r="I81" s="38">
        <f t="shared" si="16"/>
        <v>0</v>
      </c>
      <c r="J81" s="23">
        <v>0</v>
      </c>
      <c r="K81" s="23">
        <v>0</v>
      </c>
      <c r="L81" s="38">
        <f t="shared" si="17"/>
        <v>0</v>
      </c>
      <c r="M81" s="23">
        <v>7</v>
      </c>
      <c r="N81" s="23">
        <v>0</v>
      </c>
      <c r="O81" s="23">
        <v>0</v>
      </c>
      <c r="P81" s="23">
        <v>2</v>
      </c>
      <c r="Q81" s="23">
        <v>5</v>
      </c>
      <c r="R81" s="25">
        <v>2</v>
      </c>
    </row>
    <row r="82" spans="1:18" x14ac:dyDescent="0.25">
      <c r="A82" s="43">
        <v>42195</v>
      </c>
      <c r="B82" s="43"/>
      <c r="C82" s="22" t="s">
        <v>139</v>
      </c>
      <c r="D82" s="23">
        <v>6</v>
      </c>
      <c r="E82" s="23">
        <v>14</v>
      </c>
      <c r="F82" s="38">
        <f t="shared" si="15"/>
        <v>0.42857142857142855</v>
      </c>
      <c r="G82" s="23">
        <v>1</v>
      </c>
      <c r="H82" s="23">
        <v>3</v>
      </c>
      <c r="I82" s="38">
        <f t="shared" si="16"/>
        <v>0.33333333333333331</v>
      </c>
      <c r="J82" s="23">
        <v>0</v>
      </c>
      <c r="K82" s="23">
        <v>0</v>
      </c>
      <c r="L82" s="38">
        <f t="shared" si="17"/>
        <v>0</v>
      </c>
      <c r="M82" s="23">
        <v>4</v>
      </c>
      <c r="N82" s="23">
        <v>1</v>
      </c>
      <c r="O82" s="23">
        <v>2</v>
      </c>
      <c r="P82" s="23">
        <v>0</v>
      </c>
      <c r="Q82" s="23">
        <v>0</v>
      </c>
      <c r="R82" s="25">
        <v>13</v>
      </c>
    </row>
    <row r="83" spans="1:18" x14ac:dyDescent="0.25">
      <c r="A83" s="43">
        <v>42195</v>
      </c>
      <c r="B83" s="43"/>
      <c r="C83" s="22" t="s">
        <v>130</v>
      </c>
      <c r="D83" s="23">
        <v>2</v>
      </c>
      <c r="E83" s="23">
        <v>4</v>
      </c>
      <c r="F83" s="38">
        <f t="shared" si="15"/>
        <v>0.5</v>
      </c>
      <c r="G83" s="23">
        <v>0</v>
      </c>
      <c r="H83" s="23">
        <v>1</v>
      </c>
      <c r="I83" s="38">
        <f t="shared" si="16"/>
        <v>0</v>
      </c>
      <c r="J83" s="23">
        <v>0</v>
      </c>
      <c r="K83" s="23">
        <v>2</v>
      </c>
      <c r="L83" s="38">
        <f t="shared" si="17"/>
        <v>0</v>
      </c>
      <c r="M83" s="23">
        <v>2</v>
      </c>
      <c r="N83" s="23">
        <v>2</v>
      </c>
      <c r="O83" s="23">
        <v>0</v>
      </c>
      <c r="P83" s="23">
        <v>0</v>
      </c>
      <c r="Q83" s="23">
        <v>1</v>
      </c>
      <c r="R83" s="25">
        <v>4</v>
      </c>
    </row>
    <row r="84" spans="1:18" x14ac:dyDescent="0.25">
      <c r="A84" s="43">
        <v>42195</v>
      </c>
      <c r="B84" s="43"/>
      <c r="C84" s="22" t="s">
        <v>67</v>
      </c>
      <c r="D84" s="23">
        <v>5</v>
      </c>
      <c r="E84" s="23">
        <v>6</v>
      </c>
      <c r="F84" s="38">
        <f t="shared" si="15"/>
        <v>0.83333333333333337</v>
      </c>
      <c r="G84" s="23">
        <v>0</v>
      </c>
      <c r="H84" s="23">
        <v>0</v>
      </c>
      <c r="I84" s="38">
        <f t="shared" si="16"/>
        <v>0</v>
      </c>
      <c r="J84" s="23">
        <v>1</v>
      </c>
      <c r="K84" s="23">
        <v>1</v>
      </c>
      <c r="L84" s="38">
        <f t="shared" si="17"/>
        <v>1</v>
      </c>
      <c r="M84" s="23">
        <v>10</v>
      </c>
      <c r="N84" s="23">
        <v>2</v>
      </c>
      <c r="O84" s="23">
        <v>1</v>
      </c>
      <c r="P84" s="23">
        <v>1</v>
      </c>
      <c r="Q84" s="23">
        <v>4</v>
      </c>
      <c r="R84" s="25">
        <v>11</v>
      </c>
    </row>
    <row r="85" spans="1:18" x14ac:dyDescent="0.25">
      <c r="A85" s="43">
        <v>42195</v>
      </c>
      <c r="B85" s="43"/>
      <c r="C85" s="22" t="s">
        <v>88</v>
      </c>
      <c r="D85" s="23">
        <v>1</v>
      </c>
      <c r="E85" s="23">
        <v>3</v>
      </c>
      <c r="F85" s="38">
        <f t="shared" si="15"/>
        <v>0.33333333333333331</v>
      </c>
      <c r="G85" s="23">
        <v>0</v>
      </c>
      <c r="H85" s="23">
        <v>0</v>
      </c>
      <c r="I85" s="38">
        <f t="shared" si="16"/>
        <v>0</v>
      </c>
      <c r="J85" s="23">
        <v>5</v>
      </c>
      <c r="K85" s="23">
        <v>6</v>
      </c>
      <c r="L85" s="38">
        <f t="shared" si="17"/>
        <v>0.83333333333333337</v>
      </c>
      <c r="M85" s="23">
        <v>1</v>
      </c>
      <c r="N85" s="23">
        <v>0</v>
      </c>
      <c r="O85" s="23">
        <v>1</v>
      </c>
      <c r="P85" s="23">
        <v>0</v>
      </c>
      <c r="Q85" s="23">
        <v>0</v>
      </c>
      <c r="R85" s="25">
        <v>7</v>
      </c>
    </row>
    <row r="86" spans="1:18" x14ac:dyDescent="0.25">
      <c r="A86" s="43">
        <v>42196</v>
      </c>
      <c r="B86" s="43"/>
      <c r="C86" s="22" t="s">
        <v>118</v>
      </c>
      <c r="D86" s="23">
        <v>7</v>
      </c>
      <c r="E86" s="23">
        <v>12</v>
      </c>
      <c r="F86" s="38">
        <f t="shared" ref="F86:F92" si="18">IF(E86=0,0,D86/E86)</f>
        <v>0.58333333333333337</v>
      </c>
      <c r="G86" s="23">
        <v>0</v>
      </c>
      <c r="H86" s="23">
        <v>0</v>
      </c>
      <c r="I86" s="38">
        <f t="shared" ref="I86:I92" si="19">IF(H86=0,0,G86/H86)</f>
        <v>0</v>
      </c>
      <c r="J86" s="23">
        <v>8</v>
      </c>
      <c r="K86" s="23">
        <v>8</v>
      </c>
      <c r="L86" s="38">
        <f t="shared" ref="L86:L92" si="20">IF(K86=0,0,J86/K86)</f>
        <v>1</v>
      </c>
      <c r="M86" s="23">
        <v>13</v>
      </c>
      <c r="N86" s="23">
        <v>3</v>
      </c>
      <c r="O86" s="23">
        <v>0</v>
      </c>
      <c r="P86" s="23">
        <v>1</v>
      </c>
      <c r="Q86" s="23">
        <v>1</v>
      </c>
      <c r="R86" s="25">
        <v>22</v>
      </c>
    </row>
    <row r="87" spans="1:18" x14ac:dyDescent="0.25">
      <c r="A87" s="43">
        <v>42197</v>
      </c>
      <c r="B87" s="43"/>
      <c r="C87" s="22" t="s">
        <v>66</v>
      </c>
      <c r="D87" s="23">
        <v>2</v>
      </c>
      <c r="E87" s="23">
        <v>2</v>
      </c>
      <c r="F87" s="38">
        <f t="shared" si="18"/>
        <v>1</v>
      </c>
      <c r="G87" s="23">
        <v>0</v>
      </c>
      <c r="H87" s="23">
        <v>0</v>
      </c>
      <c r="I87" s="38">
        <f t="shared" si="19"/>
        <v>0</v>
      </c>
      <c r="J87" s="23">
        <v>2</v>
      </c>
      <c r="K87" s="23">
        <v>2</v>
      </c>
      <c r="L87" s="38">
        <f t="shared" si="20"/>
        <v>1</v>
      </c>
      <c r="M87" s="23">
        <v>3</v>
      </c>
      <c r="N87" s="23">
        <v>0</v>
      </c>
      <c r="O87" s="23">
        <v>0</v>
      </c>
      <c r="P87" s="23">
        <v>3</v>
      </c>
      <c r="Q87" s="23">
        <v>0</v>
      </c>
      <c r="R87" s="25">
        <v>6</v>
      </c>
    </row>
    <row r="88" spans="1:18" x14ac:dyDescent="0.25">
      <c r="A88" s="43">
        <v>42197</v>
      </c>
      <c r="B88" s="43"/>
      <c r="C88" s="22" t="s">
        <v>63</v>
      </c>
      <c r="D88" s="23">
        <v>5</v>
      </c>
      <c r="E88" s="23">
        <v>9</v>
      </c>
      <c r="F88" s="38">
        <f t="shared" si="18"/>
        <v>0.55555555555555558</v>
      </c>
      <c r="G88" s="23">
        <v>2</v>
      </c>
      <c r="H88" s="23">
        <v>5</v>
      </c>
      <c r="I88" s="38">
        <f t="shared" si="19"/>
        <v>0.4</v>
      </c>
      <c r="J88" s="23">
        <v>2</v>
      </c>
      <c r="K88" s="23">
        <v>3</v>
      </c>
      <c r="L88" s="38">
        <f t="shared" si="20"/>
        <v>0.66666666666666663</v>
      </c>
      <c r="M88" s="23">
        <v>1</v>
      </c>
      <c r="N88" s="23">
        <v>4</v>
      </c>
      <c r="O88" s="23">
        <v>0</v>
      </c>
      <c r="P88" s="23">
        <v>0</v>
      </c>
      <c r="Q88" s="23">
        <v>0</v>
      </c>
      <c r="R88" s="25">
        <v>14</v>
      </c>
    </row>
    <row r="89" spans="1:18" x14ac:dyDescent="0.25">
      <c r="A89" s="43">
        <v>42197</v>
      </c>
      <c r="B89" s="43"/>
      <c r="C89" s="22" t="s">
        <v>130</v>
      </c>
      <c r="D89" s="23">
        <v>1</v>
      </c>
      <c r="E89" s="23">
        <v>6</v>
      </c>
      <c r="F89" s="38">
        <f t="shared" si="18"/>
        <v>0.16666666666666666</v>
      </c>
      <c r="G89" s="23">
        <v>0</v>
      </c>
      <c r="H89" s="23">
        <v>2</v>
      </c>
      <c r="I89" s="38">
        <f t="shared" si="19"/>
        <v>0</v>
      </c>
      <c r="J89" s="23">
        <v>0</v>
      </c>
      <c r="K89" s="23">
        <v>0</v>
      </c>
      <c r="L89" s="38">
        <f t="shared" si="20"/>
        <v>0</v>
      </c>
      <c r="M89" s="23">
        <v>4</v>
      </c>
      <c r="N89" s="23">
        <v>2</v>
      </c>
      <c r="O89" s="23">
        <v>0</v>
      </c>
      <c r="P89" s="23">
        <v>3</v>
      </c>
      <c r="Q89" s="23">
        <v>0</v>
      </c>
      <c r="R89" s="25">
        <v>2</v>
      </c>
    </row>
    <row r="90" spans="1:18" x14ac:dyDescent="0.25">
      <c r="A90" s="43">
        <v>42197</v>
      </c>
      <c r="B90" s="43"/>
      <c r="C90" s="22" t="s">
        <v>67</v>
      </c>
      <c r="D90" s="23">
        <v>6</v>
      </c>
      <c r="E90" s="23">
        <v>7</v>
      </c>
      <c r="F90" s="38">
        <f t="shared" si="18"/>
        <v>0.8571428571428571</v>
      </c>
      <c r="G90" s="23">
        <v>0</v>
      </c>
      <c r="H90" s="23">
        <v>0</v>
      </c>
      <c r="I90" s="38">
        <f t="shared" si="19"/>
        <v>0</v>
      </c>
      <c r="J90" s="23">
        <v>0</v>
      </c>
      <c r="K90" s="23">
        <v>0</v>
      </c>
      <c r="L90" s="38">
        <f t="shared" si="20"/>
        <v>0</v>
      </c>
      <c r="M90" s="23">
        <v>3</v>
      </c>
      <c r="N90" s="23">
        <v>0</v>
      </c>
      <c r="O90" s="23">
        <v>0</v>
      </c>
      <c r="P90" s="23">
        <v>0</v>
      </c>
      <c r="Q90" s="23">
        <v>2</v>
      </c>
      <c r="R90" s="25">
        <v>12</v>
      </c>
    </row>
    <row r="91" spans="1:18" x14ac:dyDescent="0.25">
      <c r="A91" s="43">
        <v>42197</v>
      </c>
      <c r="B91" s="43"/>
      <c r="C91" s="22" t="s">
        <v>139</v>
      </c>
      <c r="D91" s="23">
        <v>2</v>
      </c>
      <c r="E91" s="23">
        <v>10</v>
      </c>
      <c r="F91" s="38">
        <f t="shared" si="18"/>
        <v>0.2</v>
      </c>
      <c r="G91" s="23">
        <v>0</v>
      </c>
      <c r="H91" s="23">
        <v>1</v>
      </c>
      <c r="I91" s="38">
        <f t="shared" si="19"/>
        <v>0</v>
      </c>
      <c r="J91" s="23">
        <v>2</v>
      </c>
      <c r="K91" s="23">
        <v>2</v>
      </c>
      <c r="L91" s="38">
        <f t="shared" si="20"/>
        <v>1</v>
      </c>
      <c r="M91" s="23">
        <v>2</v>
      </c>
      <c r="N91" s="23">
        <v>1</v>
      </c>
      <c r="O91" s="23">
        <v>2</v>
      </c>
      <c r="P91" s="23">
        <v>0</v>
      </c>
      <c r="Q91" s="23">
        <v>0</v>
      </c>
      <c r="R91" s="25">
        <v>6</v>
      </c>
    </row>
    <row r="92" spans="1:18" x14ac:dyDescent="0.25">
      <c r="A92" s="43">
        <v>42197</v>
      </c>
      <c r="B92" s="43"/>
      <c r="C92" s="22" t="s">
        <v>88</v>
      </c>
      <c r="D92" s="23">
        <v>3</v>
      </c>
      <c r="E92" s="23">
        <v>8</v>
      </c>
      <c r="F92" s="38">
        <f t="shared" si="18"/>
        <v>0.375</v>
      </c>
      <c r="G92" s="23">
        <v>0</v>
      </c>
      <c r="H92" s="23">
        <v>0</v>
      </c>
      <c r="I92" s="38">
        <f t="shared" si="19"/>
        <v>0</v>
      </c>
      <c r="J92" s="23">
        <v>0</v>
      </c>
      <c r="K92" s="23">
        <v>2</v>
      </c>
      <c r="L92" s="38">
        <f t="shared" si="20"/>
        <v>0</v>
      </c>
      <c r="M92" s="23">
        <v>2</v>
      </c>
      <c r="N92" s="23">
        <v>1</v>
      </c>
      <c r="O92" s="23">
        <v>0</v>
      </c>
      <c r="P92" s="23">
        <v>2</v>
      </c>
      <c r="Q92" s="23">
        <v>0</v>
      </c>
      <c r="R92" s="25">
        <v>6</v>
      </c>
    </row>
    <row r="93" spans="1:18" x14ac:dyDescent="0.25">
      <c r="A93" s="43">
        <v>42199</v>
      </c>
      <c r="B93" s="43"/>
      <c r="C93" s="22" t="s">
        <v>63</v>
      </c>
      <c r="D93" s="23">
        <v>9</v>
      </c>
      <c r="E93" s="23">
        <v>20</v>
      </c>
      <c r="F93" s="38">
        <f t="shared" ref="F93:F112" si="21">IF(E93=0,0,D93/E93)</f>
        <v>0.45</v>
      </c>
      <c r="G93" s="23">
        <v>4</v>
      </c>
      <c r="H93" s="23">
        <v>8</v>
      </c>
      <c r="I93" s="38">
        <f t="shared" ref="I93:I112" si="22">IF(H93=0,0,G93/H93)</f>
        <v>0.5</v>
      </c>
      <c r="J93" s="23">
        <v>0</v>
      </c>
      <c r="K93" s="23">
        <v>0</v>
      </c>
      <c r="L93" s="38">
        <f t="shared" ref="L93:L112" si="23">IF(K93=0,0,J93/K93)</f>
        <v>0</v>
      </c>
      <c r="M93" s="23">
        <v>0</v>
      </c>
      <c r="N93" s="23">
        <v>0</v>
      </c>
      <c r="O93" s="23">
        <v>4</v>
      </c>
      <c r="P93" s="23">
        <v>2</v>
      </c>
      <c r="Q93" s="23">
        <v>0</v>
      </c>
      <c r="R93" s="25">
        <v>22</v>
      </c>
    </row>
    <row r="94" spans="1:18" x14ac:dyDescent="0.25">
      <c r="A94" s="43">
        <v>42200</v>
      </c>
      <c r="B94" s="43"/>
      <c r="C94" s="22" t="s">
        <v>64</v>
      </c>
      <c r="D94" s="23">
        <v>1</v>
      </c>
      <c r="E94" s="23">
        <v>4</v>
      </c>
      <c r="F94" s="38">
        <f t="shared" si="21"/>
        <v>0.25</v>
      </c>
      <c r="G94" s="23">
        <v>0</v>
      </c>
      <c r="H94" s="23">
        <v>1</v>
      </c>
      <c r="I94" s="38">
        <f t="shared" si="22"/>
        <v>0</v>
      </c>
      <c r="J94" s="23">
        <v>0</v>
      </c>
      <c r="K94" s="23">
        <v>0</v>
      </c>
      <c r="L94" s="38">
        <f t="shared" si="23"/>
        <v>0</v>
      </c>
      <c r="M94" s="23">
        <v>2</v>
      </c>
      <c r="N94" s="23">
        <v>1</v>
      </c>
      <c r="O94" s="23">
        <v>0</v>
      </c>
      <c r="P94" s="23">
        <v>2</v>
      </c>
      <c r="Q94" s="23">
        <v>0</v>
      </c>
      <c r="R94" s="25">
        <v>2</v>
      </c>
    </row>
    <row r="95" spans="1:18" x14ac:dyDescent="0.25">
      <c r="A95" s="43">
        <v>42200</v>
      </c>
      <c r="B95" s="43"/>
      <c r="C95" s="22" t="s">
        <v>67</v>
      </c>
      <c r="D95" s="23">
        <v>0</v>
      </c>
      <c r="E95" s="23">
        <v>1</v>
      </c>
      <c r="F95" s="38">
        <f t="shared" si="21"/>
        <v>0</v>
      </c>
      <c r="G95" s="23">
        <v>0</v>
      </c>
      <c r="H95" s="23">
        <v>0</v>
      </c>
      <c r="I95" s="38">
        <f t="shared" si="22"/>
        <v>0</v>
      </c>
      <c r="J95" s="23">
        <v>0</v>
      </c>
      <c r="K95" s="23">
        <v>0</v>
      </c>
      <c r="L95" s="38">
        <f t="shared" si="23"/>
        <v>0</v>
      </c>
      <c r="M95" s="23">
        <v>3</v>
      </c>
      <c r="N95" s="23">
        <v>3</v>
      </c>
      <c r="O95" s="23">
        <v>0</v>
      </c>
      <c r="P95" s="23">
        <v>0</v>
      </c>
      <c r="Q95" s="23">
        <v>2</v>
      </c>
      <c r="R95" s="25">
        <v>0</v>
      </c>
    </row>
    <row r="96" spans="1:18" x14ac:dyDescent="0.25">
      <c r="A96" s="43">
        <v>42200</v>
      </c>
      <c r="B96" s="43"/>
      <c r="C96" s="22" t="s">
        <v>130</v>
      </c>
      <c r="D96" s="23">
        <v>2</v>
      </c>
      <c r="E96" s="23">
        <v>4</v>
      </c>
      <c r="F96" s="38">
        <f t="shared" si="21"/>
        <v>0.5</v>
      </c>
      <c r="G96" s="23">
        <v>0</v>
      </c>
      <c r="H96" s="23">
        <v>0</v>
      </c>
      <c r="I96" s="38">
        <f t="shared" si="22"/>
        <v>0</v>
      </c>
      <c r="J96" s="23">
        <v>0</v>
      </c>
      <c r="K96" s="23">
        <v>0</v>
      </c>
      <c r="L96" s="38">
        <f t="shared" si="23"/>
        <v>0</v>
      </c>
      <c r="M96" s="23">
        <v>3</v>
      </c>
      <c r="N96" s="23">
        <v>4</v>
      </c>
      <c r="O96" s="23">
        <v>1</v>
      </c>
      <c r="P96" s="23">
        <v>2</v>
      </c>
      <c r="Q96" s="23">
        <v>0</v>
      </c>
      <c r="R96" s="25">
        <v>4</v>
      </c>
    </row>
    <row r="97" spans="1:18" x14ac:dyDescent="0.25">
      <c r="A97" s="43">
        <v>42200</v>
      </c>
      <c r="B97" s="43"/>
      <c r="C97" s="22" t="s">
        <v>118</v>
      </c>
      <c r="D97" s="23">
        <v>6</v>
      </c>
      <c r="E97" s="23">
        <v>11</v>
      </c>
      <c r="F97" s="38">
        <f t="shared" si="21"/>
        <v>0.54545454545454541</v>
      </c>
      <c r="G97" s="23">
        <v>0</v>
      </c>
      <c r="H97" s="23">
        <v>1</v>
      </c>
      <c r="I97" s="38">
        <f t="shared" si="22"/>
        <v>0</v>
      </c>
      <c r="J97" s="23">
        <v>0</v>
      </c>
      <c r="K97" s="23">
        <v>0</v>
      </c>
      <c r="L97" s="38">
        <f t="shared" si="23"/>
        <v>0</v>
      </c>
      <c r="M97" s="23">
        <v>7</v>
      </c>
      <c r="N97" s="23">
        <v>4</v>
      </c>
      <c r="O97" s="23">
        <v>0</v>
      </c>
      <c r="P97" s="23">
        <v>8</v>
      </c>
      <c r="Q97" s="23">
        <v>0</v>
      </c>
      <c r="R97" s="25">
        <v>12</v>
      </c>
    </row>
    <row r="98" spans="1:18" x14ac:dyDescent="0.25">
      <c r="A98" s="43">
        <v>42200</v>
      </c>
      <c r="B98" s="43"/>
      <c r="C98" s="22" t="s">
        <v>88</v>
      </c>
      <c r="D98" s="23">
        <v>4</v>
      </c>
      <c r="E98" s="23">
        <v>10</v>
      </c>
      <c r="F98" s="38">
        <f t="shared" si="21"/>
        <v>0.4</v>
      </c>
      <c r="G98" s="23">
        <v>0</v>
      </c>
      <c r="H98" s="23">
        <v>0</v>
      </c>
      <c r="I98" s="38">
        <f t="shared" si="22"/>
        <v>0</v>
      </c>
      <c r="J98" s="23">
        <v>2</v>
      </c>
      <c r="K98" s="23">
        <v>2</v>
      </c>
      <c r="L98" s="38">
        <f t="shared" si="23"/>
        <v>1</v>
      </c>
      <c r="M98" s="23">
        <v>2</v>
      </c>
      <c r="N98" s="23">
        <v>2</v>
      </c>
      <c r="O98" s="23">
        <v>0</v>
      </c>
      <c r="P98" s="23">
        <v>1</v>
      </c>
      <c r="Q98" s="23">
        <v>0</v>
      </c>
      <c r="R98" s="25">
        <v>10</v>
      </c>
    </row>
    <row r="99" spans="1:18" x14ac:dyDescent="0.25">
      <c r="A99" s="43">
        <v>42200</v>
      </c>
      <c r="B99" s="43"/>
      <c r="C99" s="22" t="s">
        <v>66</v>
      </c>
      <c r="D99" s="23">
        <v>3</v>
      </c>
      <c r="E99" s="23">
        <v>7</v>
      </c>
      <c r="F99" s="38">
        <f t="shared" si="21"/>
        <v>0.42857142857142855</v>
      </c>
      <c r="G99" s="23">
        <v>0</v>
      </c>
      <c r="H99" s="23">
        <v>0</v>
      </c>
      <c r="I99" s="38">
        <f t="shared" si="22"/>
        <v>0</v>
      </c>
      <c r="J99" s="23">
        <v>1</v>
      </c>
      <c r="K99" s="23">
        <v>2</v>
      </c>
      <c r="L99" s="38">
        <f t="shared" si="23"/>
        <v>0.5</v>
      </c>
      <c r="M99" s="23">
        <v>7</v>
      </c>
      <c r="N99" s="23">
        <v>3</v>
      </c>
      <c r="O99" s="23">
        <v>1</v>
      </c>
      <c r="P99" s="23">
        <v>0</v>
      </c>
      <c r="Q99" s="23">
        <v>4</v>
      </c>
      <c r="R99" s="25">
        <v>7</v>
      </c>
    </row>
    <row r="100" spans="1:18" x14ac:dyDescent="0.25">
      <c r="A100" s="65">
        <v>42201</v>
      </c>
      <c r="B100" s="65"/>
      <c r="C100" s="66" t="s">
        <v>63</v>
      </c>
      <c r="D100" s="67">
        <v>6</v>
      </c>
      <c r="E100" s="67">
        <v>19</v>
      </c>
      <c r="F100" s="68">
        <f t="shared" si="21"/>
        <v>0.31578947368421051</v>
      </c>
      <c r="G100" s="67">
        <v>2</v>
      </c>
      <c r="H100" s="67">
        <v>6</v>
      </c>
      <c r="I100" s="68">
        <f t="shared" si="22"/>
        <v>0.33333333333333331</v>
      </c>
      <c r="J100" s="67">
        <v>1</v>
      </c>
      <c r="K100" s="67">
        <v>1</v>
      </c>
      <c r="L100" s="68">
        <f t="shared" si="23"/>
        <v>1</v>
      </c>
      <c r="M100" s="67">
        <v>2</v>
      </c>
      <c r="N100" s="67">
        <v>0</v>
      </c>
      <c r="O100" s="67">
        <v>0</v>
      </c>
      <c r="P100" s="67">
        <v>2</v>
      </c>
      <c r="Q100" s="67">
        <v>1</v>
      </c>
      <c r="R100" s="69">
        <v>15</v>
      </c>
    </row>
    <row r="101" spans="1:18" x14ac:dyDescent="0.25">
      <c r="A101" s="65">
        <v>42201</v>
      </c>
      <c r="B101" s="65"/>
      <c r="C101" s="66" t="s">
        <v>118</v>
      </c>
      <c r="D101" s="67">
        <v>8</v>
      </c>
      <c r="E101" s="67">
        <v>15</v>
      </c>
      <c r="F101" s="68">
        <f t="shared" si="21"/>
        <v>0.53333333333333333</v>
      </c>
      <c r="G101" s="67">
        <v>0</v>
      </c>
      <c r="H101" s="67">
        <v>0</v>
      </c>
      <c r="I101" s="68">
        <f t="shared" si="22"/>
        <v>0</v>
      </c>
      <c r="J101" s="67">
        <v>3</v>
      </c>
      <c r="K101" s="67">
        <v>4</v>
      </c>
      <c r="L101" s="68">
        <f t="shared" si="23"/>
        <v>0.75</v>
      </c>
      <c r="M101" s="67">
        <v>6</v>
      </c>
      <c r="N101" s="67">
        <v>0</v>
      </c>
      <c r="O101" s="67">
        <v>2</v>
      </c>
      <c r="P101" s="67">
        <v>2</v>
      </c>
      <c r="Q101" s="67">
        <v>0</v>
      </c>
      <c r="R101" s="69">
        <v>19</v>
      </c>
    </row>
    <row r="102" spans="1:18" x14ac:dyDescent="0.25">
      <c r="A102" s="65">
        <v>42201</v>
      </c>
      <c r="B102" s="65"/>
      <c r="C102" s="66" t="s">
        <v>66</v>
      </c>
      <c r="D102" s="67">
        <v>2</v>
      </c>
      <c r="E102" s="67">
        <v>5</v>
      </c>
      <c r="F102" s="68">
        <f t="shared" si="21"/>
        <v>0.4</v>
      </c>
      <c r="G102" s="67">
        <v>0</v>
      </c>
      <c r="H102" s="67">
        <v>0</v>
      </c>
      <c r="I102" s="68">
        <f t="shared" si="22"/>
        <v>0</v>
      </c>
      <c r="J102" s="67">
        <v>3</v>
      </c>
      <c r="K102" s="67">
        <v>4</v>
      </c>
      <c r="L102" s="68">
        <f t="shared" si="23"/>
        <v>0.75</v>
      </c>
      <c r="M102" s="67">
        <v>8</v>
      </c>
      <c r="N102" s="67">
        <v>0</v>
      </c>
      <c r="O102" s="67">
        <v>1</v>
      </c>
      <c r="P102" s="67">
        <v>0</v>
      </c>
      <c r="Q102" s="67">
        <v>8</v>
      </c>
      <c r="R102" s="69">
        <v>7</v>
      </c>
    </row>
    <row r="103" spans="1:18" x14ac:dyDescent="0.25">
      <c r="A103" s="43">
        <v>42202</v>
      </c>
      <c r="B103" s="43"/>
      <c r="C103" s="22" t="s">
        <v>64</v>
      </c>
      <c r="D103" s="23">
        <v>1</v>
      </c>
      <c r="E103" s="23">
        <v>11</v>
      </c>
      <c r="F103" s="38">
        <f t="shared" si="21"/>
        <v>9.0909090909090912E-2</v>
      </c>
      <c r="G103" s="23">
        <v>1</v>
      </c>
      <c r="H103" s="23">
        <v>7</v>
      </c>
      <c r="I103" s="38">
        <f t="shared" si="22"/>
        <v>0.14285714285714285</v>
      </c>
      <c r="J103" s="23">
        <v>0</v>
      </c>
      <c r="K103" s="23">
        <v>1</v>
      </c>
      <c r="L103" s="38">
        <f t="shared" si="23"/>
        <v>0</v>
      </c>
      <c r="M103" s="23">
        <v>1</v>
      </c>
      <c r="N103" s="23">
        <v>2</v>
      </c>
      <c r="O103" s="23">
        <v>0</v>
      </c>
      <c r="P103" s="23">
        <v>1</v>
      </c>
      <c r="Q103" s="23">
        <v>0</v>
      </c>
      <c r="R103" s="25">
        <v>3</v>
      </c>
    </row>
    <row r="104" spans="1:18" x14ac:dyDescent="0.25">
      <c r="A104" s="43">
        <v>42202</v>
      </c>
      <c r="B104" s="43"/>
      <c r="C104" s="22" t="s">
        <v>67</v>
      </c>
      <c r="D104" s="23">
        <v>7</v>
      </c>
      <c r="E104" s="23">
        <v>14</v>
      </c>
      <c r="F104" s="38">
        <f t="shared" si="21"/>
        <v>0.5</v>
      </c>
      <c r="G104" s="23">
        <v>0</v>
      </c>
      <c r="H104" s="23">
        <v>0</v>
      </c>
      <c r="I104" s="38">
        <f t="shared" si="22"/>
        <v>0</v>
      </c>
      <c r="J104" s="23">
        <v>3</v>
      </c>
      <c r="K104" s="23">
        <v>5</v>
      </c>
      <c r="L104" s="38">
        <f t="shared" si="23"/>
        <v>0.6</v>
      </c>
      <c r="M104" s="23">
        <v>11</v>
      </c>
      <c r="N104" s="23">
        <v>1</v>
      </c>
      <c r="O104" s="23">
        <v>0</v>
      </c>
      <c r="P104" s="23">
        <v>2</v>
      </c>
      <c r="Q104" s="23">
        <v>1</v>
      </c>
      <c r="R104" s="25">
        <v>17</v>
      </c>
    </row>
    <row r="105" spans="1:18" x14ac:dyDescent="0.25">
      <c r="A105" s="43">
        <v>42202</v>
      </c>
      <c r="B105" s="43"/>
      <c r="C105" s="22" t="s">
        <v>139</v>
      </c>
      <c r="D105" s="23">
        <v>1</v>
      </c>
      <c r="E105" s="23">
        <v>5</v>
      </c>
      <c r="F105" s="38">
        <f t="shared" si="21"/>
        <v>0.2</v>
      </c>
      <c r="G105" s="23">
        <v>0</v>
      </c>
      <c r="H105" s="23">
        <v>1</v>
      </c>
      <c r="I105" s="38">
        <f t="shared" si="22"/>
        <v>0</v>
      </c>
      <c r="J105" s="23">
        <v>0</v>
      </c>
      <c r="K105" s="23">
        <v>0</v>
      </c>
      <c r="L105" s="38">
        <f t="shared" si="23"/>
        <v>0</v>
      </c>
      <c r="M105" s="23">
        <v>3</v>
      </c>
      <c r="N105" s="23">
        <v>2</v>
      </c>
      <c r="O105" s="23">
        <v>0</v>
      </c>
      <c r="P105" s="23">
        <v>0</v>
      </c>
      <c r="Q105" s="23">
        <v>0</v>
      </c>
      <c r="R105" s="25">
        <v>2</v>
      </c>
    </row>
    <row r="106" spans="1:18" x14ac:dyDescent="0.25">
      <c r="A106" s="43">
        <v>42202</v>
      </c>
      <c r="B106" s="43"/>
      <c r="C106" s="22" t="s">
        <v>130</v>
      </c>
      <c r="D106" s="23">
        <v>2</v>
      </c>
      <c r="E106" s="23">
        <v>3</v>
      </c>
      <c r="F106" s="38">
        <f t="shared" si="21"/>
        <v>0.66666666666666663</v>
      </c>
      <c r="G106" s="23">
        <v>0</v>
      </c>
      <c r="H106" s="23">
        <v>0</v>
      </c>
      <c r="I106" s="38">
        <f t="shared" si="22"/>
        <v>0</v>
      </c>
      <c r="J106" s="23">
        <v>0</v>
      </c>
      <c r="K106" s="23">
        <v>0</v>
      </c>
      <c r="L106" s="38">
        <f t="shared" si="23"/>
        <v>0</v>
      </c>
      <c r="M106" s="23">
        <v>3</v>
      </c>
      <c r="N106" s="23">
        <v>2</v>
      </c>
      <c r="O106" s="23">
        <v>0</v>
      </c>
      <c r="P106" s="23">
        <v>0</v>
      </c>
      <c r="Q106" s="23">
        <v>2</v>
      </c>
      <c r="R106" s="25">
        <v>4</v>
      </c>
    </row>
    <row r="107" spans="1:18" x14ac:dyDescent="0.25">
      <c r="A107" s="43">
        <v>42203</v>
      </c>
      <c r="B107" s="43"/>
      <c r="C107" s="22" t="s">
        <v>88</v>
      </c>
      <c r="D107" s="23">
        <v>6</v>
      </c>
      <c r="E107" s="23">
        <v>9</v>
      </c>
      <c r="F107" s="38">
        <f t="shared" si="21"/>
        <v>0.66666666666666663</v>
      </c>
      <c r="G107" s="23">
        <v>0</v>
      </c>
      <c r="H107" s="23">
        <v>0</v>
      </c>
      <c r="I107" s="38">
        <f t="shared" si="22"/>
        <v>0</v>
      </c>
      <c r="J107" s="23">
        <v>2</v>
      </c>
      <c r="K107" s="23">
        <v>3</v>
      </c>
      <c r="L107" s="38">
        <f t="shared" si="23"/>
        <v>0.66666666666666663</v>
      </c>
      <c r="M107" s="23">
        <v>1</v>
      </c>
      <c r="N107" s="23">
        <v>0</v>
      </c>
      <c r="O107" s="23">
        <v>0</v>
      </c>
      <c r="P107" s="23">
        <v>1</v>
      </c>
      <c r="Q107" s="23">
        <v>0</v>
      </c>
      <c r="R107" s="25">
        <v>14</v>
      </c>
    </row>
    <row r="108" spans="1:18" x14ac:dyDescent="0.25">
      <c r="A108" s="43">
        <v>42203</v>
      </c>
      <c r="B108" s="43"/>
      <c r="C108" s="22" t="s">
        <v>66</v>
      </c>
      <c r="D108" s="23">
        <v>2</v>
      </c>
      <c r="E108" s="23">
        <v>5</v>
      </c>
      <c r="F108" s="38">
        <f t="shared" si="21"/>
        <v>0.4</v>
      </c>
      <c r="G108" s="23">
        <v>0</v>
      </c>
      <c r="H108" s="23">
        <v>0</v>
      </c>
      <c r="I108" s="38">
        <f t="shared" si="22"/>
        <v>0</v>
      </c>
      <c r="J108" s="23">
        <v>0</v>
      </c>
      <c r="K108" s="23">
        <v>0</v>
      </c>
      <c r="L108" s="38">
        <f t="shared" si="23"/>
        <v>0</v>
      </c>
      <c r="M108" s="23">
        <v>4</v>
      </c>
      <c r="N108" s="23">
        <v>3</v>
      </c>
      <c r="O108" s="23">
        <v>1</v>
      </c>
      <c r="P108" s="23">
        <v>0</v>
      </c>
      <c r="Q108" s="23">
        <v>2</v>
      </c>
      <c r="R108" s="25">
        <v>4</v>
      </c>
    </row>
    <row r="109" spans="1:18" x14ac:dyDescent="0.25">
      <c r="A109" s="43">
        <v>42204</v>
      </c>
      <c r="B109" s="43"/>
      <c r="C109" s="22" t="s">
        <v>67</v>
      </c>
      <c r="D109" s="23">
        <v>4</v>
      </c>
      <c r="E109" s="23">
        <v>7</v>
      </c>
      <c r="F109" s="38">
        <f t="shared" si="21"/>
        <v>0.5714285714285714</v>
      </c>
      <c r="G109" s="23">
        <v>0</v>
      </c>
      <c r="H109" s="23">
        <v>0</v>
      </c>
      <c r="I109" s="38">
        <f t="shared" si="22"/>
        <v>0</v>
      </c>
      <c r="J109" s="23">
        <v>2</v>
      </c>
      <c r="K109" s="23">
        <v>2</v>
      </c>
      <c r="L109" s="38">
        <f t="shared" si="23"/>
        <v>1</v>
      </c>
      <c r="M109" s="23">
        <v>2</v>
      </c>
      <c r="N109" s="23">
        <v>1</v>
      </c>
      <c r="O109" s="23">
        <v>2</v>
      </c>
      <c r="P109" s="23">
        <v>0</v>
      </c>
      <c r="Q109" s="23">
        <v>1</v>
      </c>
      <c r="R109" s="25">
        <v>10</v>
      </c>
    </row>
    <row r="110" spans="1:18" x14ac:dyDescent="0.25">
      <c r="A110" s="43">
        <v>42204</v>
      </c>
      <c r="B110" s="43"/>
      <c r="C110" s="22" t="s">
        <v>63</v>
      </c>
      <c r="D110" s="23">
        <v>8</v>
      </c>
      <c r="E110" s="23">
        <v>14</v>
      </c>
      <c r="F110" s="38">
        <f t="shared" si="21"/>
        <v>0.5714285714285714</v>
      </c>
      <c r="G110" s="23">
        <v>1</v>
      </c>
      <c r="H110" s="23">
        <v>5</v>
      </c>
      <c r="I110" s="38">
        <f t="shared" si="22"/>
        <v>0.2</v>
      </c>
      <c r="J110" s="23">
        <v>1</v>
      </c>
      <c r="K110" s="23">
        <v>2</v>
      </c>
      <c r="L110" s="38">
        <f t="shared" si="23"/>
        <v>0.5</v>
      </c>
      <c r="M110" s="23">
        <v>1</v>
      </c>
      <c r="N110" s="23">
        <v>0</v>
      </c>
      <c r="O110" s="23">
        <v>3</v>
      </c>
      <c r="P110" s="23">
        <v>0</v>
      </c>
      <c r="Q110" s="23">
        <v>0</v>
      </c>
      <c r="R110" s="25">
        <v>18</v>
      </c>
    </row>
    <row r="111" spans="1:18" x14ac:dyDescent="0.25">
      <c r="A111" s="43">
        <v>42204</v>
      </c>
      <c r="B111" s="43"/>
      <c r="C111" s="22" t="s">
        <v>130</v>
      </c>
      <c r="D111" s="23">
        <v>4</v>
      </c>
      <c r="E111" s="23">
        <v>5</v>
      </c>
      <c r="F111" s="38">
        <f t="shared" si="21"/>
        <v>0.8</v>
      </c>
      <c r="G111" s="23">
        <v>1</v>
      </c>
      <c r="H111" s="23">
        <v>1</v>
      </c>
      <c r="I111" s="38">
        <f t="shared" si="22"/>
        <v>1</v>
      </c>
      <c r="J111" s="23">
        <v>0</v>
      </c>
      <c r="K111" s="23">
        <v>0</v>
      </c>
      <c r="L111" s="38">
        <f t="shared" si="23"/>
        <v>0</v>
      </c>
      <c r="M111" s="23">
        <v>1</v>
      </c>
      <c r="N111" s="23">
        <v>3</v>
      </c>
      <c r="O111" s="23">
        <v>1</v>
      </c>
      <c r="P111" s="23">
        <v>0</v>
      </c>
      <c r="Q111" s="23">
        <v>0</v>
      </c>
      <c r="R111" s="25">
        <v>9</v>
      </c>
    </row>
    <row r="112" spans="1:18" x14ac:dyDescent="0.25">
      <c r="A112" s="43">
        <v>42204</v>
      </c>
      <c r="B112" s="43"/>
      <c r="C112" s="22" t="s">
        <v>64</v>
      </c>
      <c r="D112" s="23">
        <v>2</v>
      </c>
      <c r="E112" s="23">
        <v>4</v>
      </c>
      <c r="F112" s="38">
        <f t="shared" si="21"/>
        <v>0.5</v>
      </c>
      <c r="G112" s="23">
        <v>2</v>
      </c>
      <c r="H112" s="23">
        <v>4</v>
      </c>
      <c r="I112" s="38">
        <f t="shared" si="22"/>
        <v>0.5</v>
      </c>
      <c r="J112" s="23">
        <v>4</v>
      </c>
      <c r="K112" s="23">
        <v>4</v>
      </c>
      <c r="L112" s="38">
        <f t="shared" si="23"/>
        <v>1</v>
      </c>
      <c r="M112" s="23">
        <v>0</v>
      </c>
      <c r="N112" s="23">
        <v>0</v>
      </c>
      <c r="O112" s="23">
        <v>0</v>
      </c>
      <c r="P112" s="23">
        <v>3</v>
      </c>
      <c r="Q112" s="23">
        <v>0</v>
      </c>
      <c r="R112" s="25">
        <v>10</v>
      </c>
    </row>
    <row r="113" spans="1:18" x14ac:dyDescent="0.25">
      <c r="A113" s="43">
        <v>42206</v>
      </c>
      <c r="B113" s="43"/>
      <c r="C113" s="22" t="s">
        <v>118</v>
      </c>
      <c r="D113" s="23">
        <v>6</v>
      </c>
      <c r="E113" s="23">
        <v>12</v>
      </c>
      <c r="F113" s="38">
        <f t="shared" ref="F113:F134" si="24">IF(E113=0,0,D113/E113)</f>
        <v>0.5</v>
      </c>
      <c r="G113" s="23">
        <v>0</v>
      </c>
      <c r="H113" s="23">
        <v>0</v>
      </c>
      <c r="I113" s="38">
        <f t="shared" ref="I113:I134" si="25">IF(H113=0,0,G113/H113)</f>
        <v>0</v>
      </c>
      <c r="J113" s="23">
        <v>5</v>
      </c>
      <c r="K113" s="23">
        <v>6</v>
      </c>
      <c r="L113" s="38">
        <f t="shared" ref="L113:L134" si="26">IF(K113=0,0,J113/K113)</f>
        <v>0.83333333333333337</v>
      </c>
      <c r="M113" s="23">
        <v>6</v>
      </c>
      <c r="N113" s="23">
        <v>3</v>
      </c>
      <c r="O113" s="23">
        <v>2</v>
      </c>
      <c r="P113" s="23">
        <v>1</v>
      </c>
      <c r="Q113" s="23">
        <v>1</v>
      </c>
      <c r="R113" s="25">
        <v>17</v>
      </c>
    </row>
    <row r="114" spans="1:18" x14ac:dyDescent="0.25">
      <c r="A114" s="43">
        <v>42206</v>
      </c>
      <c r="B114" s="43"/>
      <c r="C114" s="22" t="s">
        <v>64</v>
      </c>
      <c r="D114" s="23">
        <v>3</v>
      </c>
      <c r="E114" s="23">
        <v>9</v>
      </c>
      <c r="F114" s="38">
        <f t="shared" si="24"/>
        <v>0.33333333333333331</v>
      </c>
      <c r="G114" s="23">
        <v>3</v>
      </c>
      <c r="H114" s="23">
        <v>7</v>
      </c>
      <c r="I114" s="38">
        <f t="shared" si="25"/>
        <v>0.42857142857142855</v>
      </c>
      <c r="J114" s="23">
        <v>5</v>
      </c>
      <c r="K114" s="23">
        <v>5</v>
      </c>
      <c r="L114" s="38">
        <f t="shared" si="26"/>
        <v>1</v>
      </c>
      <c r="M114" s="23">
        <v>3</v>
      </c>
      <c r="N114" s="23">
        <v>1</v>
      </c>
      <c r="O114" s="23">
        <v>3</v>
      </c>
      <c r="P114" s="23">
        <v>2</v>
      </c>
      <c r="Q114" s="23">
        <v>0</v>
      </c>
      <c r="R114" s="25">
        <v>14</v>
      </c>
    </row>
    <row r="115" spans="1:18" x14ac:dyDescent="0.25">
      <c r="A115" s="43">
        <v>42206</v>
      </c>
      <c r="B115" s="43"/>
      <c r="C115" s="22" t="s">
        <v>66</v>
      </c>
      <c r="D115" s="23">
        <v>1</v>
      </c>
      <c r="E115" s="23">
        <v>1</v>
      </c>
      <c r="F115" s="38">
        <f t="shared" si="24"/>
        <v>1</v>
      </c>
      <c r="G115" s="23">
        <v>0</v>
      </c>
      <c r="H115" s="23">
        <v>0</v>
      </c>
      <c r="I115" s="38">
        <f t="shared" si="25"/>
        <v>0</v>
      </c>
      <c r="J115" s="23">
        <v>2</v>
      </c>
      <c r="K115" s="23">
        <v>2</v>
      </c>
      <c r="L115" s="38">
        <f t="shared" si="26"/>
        <v>1</v>
      </c>
      <c r="M115" s="23">
        <v>5</v>
      </c>
      <c r="N115" s="23">
        <v>2</v>
      </c>
      <c r="O115" s="23">
        <v>0</v>
      </c>
      <c r="P115" s="23">
        <v>1</v>
      </c>
      <c r="Q115" s="23">
        <v>2</v>
      </c>
      <c r="R115" s="25">
        <v>4</v>
      </c>
    </row>
    <row r="116" spans="1:18" x14ac:dyDescent="0.25">
      <c r="A116" s="43">
        <v>42206</v>
      </c>
      <c r="B116" s="43"/>
      <c r="C116" s="22" t="s">
        <v>68</v>
      </c>
      <c r="D116" s="23">
        <v>5</v>
      </c>
      <c r="E116" s="23">
        <v>9</v>
      </c>
      <c r="F116" s="38">
        <f t="shared" si="24"/>
        <v>0.55555555555555558</v>
      </c>
      <c r="G116" s="23">
        <v>1</v>
      </c>
      <c r="H116" s="23">
        <v>4</v>
      </c>
      <c r="I116" s="38">
        <f t="shared" si="25"/>
        <v>0.25</v>
      </c>
      <c r="J116" s="23">
        <v>3</v>
      </c>
      <c r="K116" s="23">
        <v>4</v>
      </c>
      <c r="L116" s="38">
        <f t="shared" si="26"/>
        <v>0.75</v>
      </c>
      <c r="M116" s="23">
        <v>2</v>
      </c>
      <c r="N116" s="23">
        <v>4</v>
      </c>
      <c r="O116" s="23">
        <v>0</v>
      </c>
      <c r="P116" s="23">
        <v>3</v>
      </c>
      <c r="Q116" s="23">
        <v>0</v>
      </c>
      <c r="R116" s="25">
        <v>14</v>
      </c>
    </row>
    <row r="117" spans="1:18" x14ac:dyDescent="0.25">
      <c r="A117" s="21">
        <v>42206</v>
      </c>
      <c r="B117" s="20"/>
      <c r="C117" s="15" t="s">
        <v>88</v>
      </c>
      <c r="D117" s="16">
        <v>6</v>
      </c>
      <c r="E117" s="16">
        <v>12</v>
      </c>
      <c r="F117" s="70">
        <f t="shared" si="24"/>
        <v>0.5</v>
      </c>
      <c r="G117" s="16">
        <v>0</v>
      </c>
      <c r="H117" s="16">
        <v>1</v>
      </c>
      <c r="I117" s="70">
        <f t="shared" si="25"/>
        <v>0</v>
      </c>
      <c r="J117" s="16">
        <v>2</v>
      </c>
      <c r="K117" s="16">
        <v>2</v>
      </c>
      <c r="L117" s="70">
        <f t="shared" si="26"/>
        <v>1</v>
      </c>
      <c r="M117" s="16">
        <v>4</v>
      </c>
      <c r="N117" s="16">
        <v>1</v>
      </c>
      <c r="O117" s="16">
        <v>0</v>
      </c>
      <c r="P117" s="16">
        <v>0</v>
      </c>
      <c r="Q117" s="16">
        <v>2</v>
      </c>
      <c r="R117" s="16">
        <v>14</v>
      </c>
    </row>
    <row r="118" spans="1:18" x14ac:dyDescent="0.25">
      <c r="A118" s="71">
        <v>42207</v>
      </c>
      <c r="B118" s="20"/>
      <c r="C118" s="15" t="s">
        <v>63</v>
      </c>
      <c r="D118" s="16">
        <v>4</v>
      </c>
      <c r="E118" s="16">
        <v>12</v>
      </c>
      <c r="F118" s="70">
        <f t="shared" si="24"/>
        <v>0.33333333333333331</v>
      </c>
      <c r="G118" s="16">
        <v>2</v>
      </c>
      <c r="H118" s="16">
        <v>6</v>
      </c>
      <c r="I118" s="70">
        <f t="shared" si="25"/>
        <v>0.33333333333333331</v>
      </c>
      <c r="J118" s="16">
        <v>2</v>
      </c>
      <c r="K118" s="16">
        <v>2</v>
      </c>
      <c r="L118" s="70">
        <f t="shared" si="26"/>
        <v>1</v>
      </c>
      <c r="M118" s="16">
        <v>2</v>
      </c>
      <c r="N118" s="16">
        <v>2</v>
      </c>
      <c r="O118" s="16">
        <v>0</v>
      </c>
      <c r="P118" s="16">
        <v>2</v>
      </c>
      <c r="Q118" s="16">
        <v>0</v>
      </c>
      <c r="R118" s="16">
        <v>12</v>
      </c>
    </row>
    <row r="119" spans="1:18" x14ac:dyDescent="0.25">
      <c r="A119" s="71">
        <v>42207</v>
      </c>
      <c r="B119" s="20"/>
      <c r="C119" s="15" t="s">
        <v>118</v>
      </c>
      <c r="D119" s="16">
        <v>2</v>
      </c>
      <c r="E119" s="16">
        <v>9</v>
      </c>
      <c r="F119" s="70">
        <f t="shared" si="24"/>
        <v>0.22222222222222221</v>
      </c>
      <c r="G119" s="16">
        <v>0</v>
      </c>
      <c r="H119" s="16">
        <v>0</v>
      </c>
      <c r="I119" s="70">
        <f t="shared" si="25"/>
        <v>0</v>
      </c>
      <c r="J119" s="16">
        <v>2</v>
      </c>
      <c r="K119" s="16">
        <v>2</v>
      </c>
      <c r="L119" s="70">
        <f t="shared" si="26"/>
        <v>1</v>
      </c>
      <c r="M119" s="16">
        <v>8</v>
      </c>
      <c r="N119" s="16">
        <v>2</v>
      </c>
      <c r="O119" s="16">
        <v>2</v>
      </c>
      <c r="P119" s="16">
        <v>1</v>
      </c>
      <c r="Q119" s="16">
        <v>0</v>
      </c>
      <c r="R119" s="16">
        <v>6</v>
      </c>
    </row>
    <row r="120" spans="1:18" x14ac:dyDescent="0.25">
      <c r="A120" s="71">
        <v>42207</v>
      </c>
      <c r="B120" s="20"/>
      <c r="C120" s="15" t="s">
        <v>66</v>
      </c>
      <c r="D120" s="16">
        <v>4</v>
      </c>
      <c r="E120" s="16">
        <v>7</v>
      </c>
      <c r="F120" s="70">
        <f t="shared" si="24"/>
        <v>0.5714285714285714</v>
      </c>
      <c r="G120" s="16">
        <v>0</v>
      </c>
      <c r="H120" s="16">
        <v>0</v>
      </c>
      <c r="I120" s="70">
        <f t="shared" si="25"/>
        <v>0</v>
      </c>
      <c r="J120" s="16">
        <v>1</v>
      </c>
      <c r="K120" s="16">
        <v>2</v>
      </c>
      <c r="L120" s="70">
        <f t="shared" si="26"/>
        <v>0.5</v>
      </c>
      <c r="M120" s="16">
        <v>9</v>
      </c>
      <c r="N120" s="16">
        <v>0</v>
      </c>
      <c r="O120" s="16">
        <v>2</v>
      </c>
      <c r="P120" s="16">
        <v>1</v>
      </c>
      <c r="Q120" s="16">
        <v>3</v>
      </c>
      <c r="R120" s="16">
        <v>9</v>
      </c>
    </row>
    <row r="121" spans="1:18" x14ac:dyDescent="0.25">
      <c r="A121" s="73">
        <v>42213</v>
      </c>
      <c r="B121" s="20"/>
      <c r="C121" s="15" t="s">
        <v>67</v>
      </c>
      <c r="D121" s="16">
        <v>4</v>
      </c>
      <c r="E121" s="16">
        <v>8</v>
      </c>
      <c r="F121" s="70">
        <f t="shared" si="24"/>
        <v>0.5</v>
      </c>
      <c r="G121" s="16">
        <v>0</v>
      </c>
      <c r="H121" s="16">
        <v>0</v>
      </c>
      <c r="I121" s="70">
        <f t="shared" si="25"/>
        <v>0</v>
      </c>
      <c r="J121" s="16">
        <v>0</v>
      </c>
      <c r="K121" s="16">
        <v>0</v>
      </c>
      <c r="L121" s="70">
        <f t="shared" si="26"/>
        <v>0</v>
      </c>
      <c r="M121" s="16">
        <v>6</v>
      </c>
      <c r="N121" s="16">
        <v>1</v>
      </c>
      <c r="O121" s="16">
        <v>0</v>
      </c>
      <c r="P121" s="16">
        <v>0</v>
      </c>
      <c r="Q121" s="16">
        <v>0</v>
      </c>
      <c r="R121" s="16">
        <v>8</v>
      </c>
    </row>
    <row r="122" spans="1:18" x14ac:dyDescent="0.25">
      <c r="A122" s="73">
        <v>42213</v>
      </c>
      <c r="B122" s="20"/>
      <c r="C122" s="15" t="s">
        <v>63</v>
      </c>
      <c r="D122" s="16">
        <v>1</v>
      </c>
      <c r="E122" s="16">
        <v>6</v>
      </c>
      <c r="F122" s="70">
        <f t="shared" si="24"/>
        <v>0.16666666666666666</v>
      </c>
      <c r="G122" s="16">
        <v>1</v>
      </c>
      <c r="H122" s="16">
        <v>4</v>
      </c>
      <c r="I122" s="70">
        <f t="shared" si="25"/>
        <v>0.25</v>
      </c>
      <c r="J122" s="16">
        <v>0</v>
      </c>
      <c r="K122" s="16">
        <v>0</v>
      </c>
      <c r="L122" s="70">
        <f t="shared" si="26"/>
        <v>0</v>
      </c>
      <c r="M122" s="16">
        <v>2</v>
      </c>
      <c r="N122" s="16">
        <v>1</v>
      </c>
      <c r="O122" s="16">
        <v>0</v>
      </c>
      <c r="P122" s="16">
        <v>0</v>
      </c>
      <c r="Q122" s="16">
        <v>0</v>
      </c>
      <c r="R122" s="16">
        <v>3</v>
      </c>
    </row>
    <row r="123" spans="1:18" x14ac:dyDescent="0.25">
      <c r="A123" s="21">
        <v>42214</v>
      </c>
      <c r="B123" s="20"/>
      <c r="C123" s="15" t="s">
        <v>64</v>
      </c>
      <c r="D123" s="16">
        <v>7</v>
      </c>
      <c r="E123" s="16">
        <v>9</v>
      </c>
      <c r="F123" s="70">
        <f t="shared" si="24"/>
        <v>0.77777777777777779</v>
      </c>
      <c r="G123" s="16">
        <v>4</v>
      </c>
      <c r="H123" s="16">
        <v>6</v>
      </c>
      <c r="I123" s="70">
        <f t="shared" si="25"/>
        <v>0.66666666666666663</v>
      </c>
      <c r="J123" s="16">
        <v>2</v>
      </c>
      <c r="K123" s="16">
        <v>2</v>
      </c>
      <c r="L123" s="70">
        <f t="shared" si="26"/>
        <v>1</v>
      </c>
      <c r="M123" s="16">
        <v>0</v>
      </c>
      <c r="N123" s="16">
        <v>2</v>
      </c>
      <c r="O123" s="16">
        <v>1</v>
      </c>
      <c r="P123" s="16">
        <v>0</v>
      </c>
      <c r="Q123" s="16">
        <v>0</v>
      </c>
      <c r="R123" s="16">
        <v>20</v>
      </c>
    </row>
    <row r="124" spans="1:18" x14ac:dyDescent="0.25">
      <c r="A124" s="21">
        <v>42214</v>
      </c>
      <c r="B124" s="20"/>
      <c r="C124" s="15" t="s">
        <v>88</v>
      </c>
      <c r="D124" s="16">
        <v>5</v>
      </c>
      <c r="E124" s="16">
        <v>12</v>
      </c>
      <c r="F124" s="70">
        <f t="shared" si="24"/>
        <v>0.41666666666666669</v>
      </c>
      <c r="G124" s="16">
        <v>0</v>
      </c>
      <c r="H124" s="16">
        <v>0</v>
      </c>
      <c r="I124" s="70">
        <f t="shared" si="25"/>
        <v>0</v>
      </c>
      <c r="J124" s="16">
        <v>0</v>
      </c>
      <c r="K124" s="16">
        <v>0</v>
      </c>
      <c r="L124" s="70">
        <f t="shared" si="26"/>
        <v>0</v>
      </c>
      <c r="M124" s="16">
        <v>2</v>
      </c>
      <c r="N124" s="16">
        <v>0</v>
      </c>
      <c r="O124" s="16">
        <v>1</v>
      </c>
      <c r="P124" s="16">
        <v>1</v>
      </c>
      <c r="Q124" s="16">
        <v>1</v>
      </c>
      <c r="R124" s="16">
        <v>10</v>
      </c>
    </row>
    <row r="125" spans="1:18" x14ac:dyDescent="0.25">
      <c r="A125" s="21">
        <v>42214</v>
      </c>
      <c r="B125" s="20"/>
      <c r="C125" s="15" t="s">
        <v>66</v>
      </c>
      <c r="D125" s="16">
        <v>2</v>
      </c>
      <c r="E125" s="16">
        <v>2</v>
      </c>
      <c r="F125" s="70">
        <f t="shared" si="24"/>
        <v>1</v>
      </c>
      <c r="G125" s="16">
        <v>0</v>
      </c>
      <c r="H125" s="16">
        <v>0</v>
      </c>
      <c r="I125" s="70">
        <f t="shared" si="25"/>
        <v>0</v>
      </c>
      <c r="J125" s="16">
        <v>0</v>
      </c>
      <c r="K125" s="16">
        <v>0</v>
      </c>
      <c r="L125" s="70">
        <f t="shared" si="26"/>
        <v>0</v>
      </c>
      <c r="M125" s="16">
        <v>2</v>
      </c>
      <c r="N125" s="16">
        <v>0</v>
      </c>
      <c r="O125" s="16">
        <v>0</v>
      </c>
      <c r="P125" s="16">
        <v>2</v>
      </c>
      <c r="Q125" s="16">
        <v>0</v>
      </c>
      <c r="R125" s="16">
        <v>4</v>
      </c>
    </row>
    <row r="126" spans="1:18" x14ac:dyDescent="0.25">
      <c r="A126" s="21">
        <v>42214</v>
      </c>
      <c r="B126" s="20"/>
      <c r="C126" s="15" t="s">
        <v>68</v>
      </c>
      <c r="D126" s="16">
        <v>7</v>
      </c>
      <c r="E126" s="16">
        <v>10</v>
      </c>
      <c r="F126" s="70">
        <f t="shared" si="24"/>
        <v>0.7</v>
      </c>
      <c r="G126" s="16">
        <v>3</v>
      </c>
      <c r="H126" s="16">
        <v>5</v>
      </c>
      <c r="I126" s="70">
        <f t="shared" si="25"/>
        <v>0.6</v>
      </c>
      <c r="J126" s="16">
        <v>8</v>
      </c>
      <c r="K126" s="16">
        <v>8</v>
      </c>
      <c r="L126" s="70">
        <f t="shared" si="26"/>
        <v>1</v>
      </c>
      <c r="M126" s="16">
        <v>2</v>
      </c>
      <c r="N126" s="16">
        <v>0</v>
      </c>
      <c r="O126" s="16">
        <v>1</v>
      </c>
      <c r="P126" s="16">
        <v>2</v>
      </c>
      <c r="Q126" s="16">
        <v>0</v>
      </c>
      <c r="R126" s="16">
        <v>25</v>
      </c>
    </row>
    <row r="127" spans="1:18" x14ac:dyDescent="0.25">
      <c r="A127" s="21">
        <v>42214</v>
      </c>
      <c r="B127" s="20"/>
      <c r="C127" s="15" t="s">
        <v>118</v>
      </c>
      <c r="D127" s="16">
        <v>4</v>
      </c>
      <c r="E127" s="16">
        <v>5</v>
      </c>
      <c r="F127" s="70">
        <f t="shared" si="24"/>
        <v>0.8</v>
      </c>
      <c r="G127" s="16">
        <v>0</v>
      </c>
      <c r="H127" s="16">
        <v>0</v>
      </c>
      <c r="I127" s="70">
        <f t="shared" si="25"/>
        <v>0</v>
      </c>
      <c r="J127" s="16">
        <v>0</v>
      </c>
      <c r="K127" s="16">
        <v>0</v>
      </c>
      <c r="L127" s="70">
        <f t="shared" si="26"/>
        <v>0</v>
      </c>
      <c r="M127" s="16">
        <v>3</v>
      </c>
      <c r="N127" s="16">
        <v>1</v>
      </c>
      <c r="O127" s="16">
        <v>1</v>
      </c>
      <c r="P127" s="16">
        <v>2</v>
      </c>
      <c r="Q127" s="16">
        <v>0</v>
      </c>
      <c r="R127" s="16">
        <v>8</v>
      </c>
    </row>
    <row r="128" spans="1:18" x14ac:dyDescent="0.25">
      <c r="A128" s="21">
        <v>42214</v>
      </c>
      <c r="B128" s="20"/>
      <c r="C128" s="15" t="s">
        <v>153</v>
      </c>
      <c r="D128" s="15">
        <v>1</v>
      </c>
      <c r="E128" s="15">
        <v>1</v>
      </c>
      <c r="F128" s="70">
        <f t="shared" si="24"/>
        <v>1</v>
      </c>
      <c r="G128" s="15">
        <v>1</v>
      </c>
      <c r="H128" s="15">
        <v>1</v>
      </c>
      <c r="I128" s="70">
        <f t="shared" si="25"/>
        <v>1</v>
      </c>
      <c r="J128" s="15">
        <v>2</v>
      </c>
      <c r="K128" s="15">
        <v>4</v>
      </c>
      <c r="L128" s="70">
        <f t="shared" si="26"/>
        <v>0.5</v>
      </c>
      <c r="M128" s="15">
        <v>0</v>
      </c>
      <c r="N128" s="15">
        <v>2</v>
      </c>
      <c r="O128" s="15">
        <v>0</v>
      </c>
      <c r="P128" s="15">
        <v>3</v>
      </c>
      <c r="Q128" s="15">
        <v>0</v>
      </c>
      <c r="R128" s="15">
        <v>5</v>
      </c>
    </row>
    <row r="129" spans="1:18" x14ac:dyDescent="0.25">
      <c r="A129" s="21">
        <v>42216</v>
      </c>
      <c r="B129" s="20"/>
      <c r="C129" s="15" t="s">
        <v>63</v>
      </c>
      <c r="D129" s="16">
        <v>1</v>
      </c>
      <c r="E129" s="16">
        <v>7</v>
      </c>
      <c r="F129" s="70">
        <f t="shared" si="24"/>
        <v>0.14285714285714285</v>
      </c>
      <c r="G129" s="16">
        <v>0</v>
      </c>
      <c r="H129" s="16">
        <v>2</v>
      </c>
      <c r="I129" s="70">
        <f t="shared" si="25"/>
        <v>0</v>
      </c>
      <c r="J129" s="16">
        <v>0</v>
      </c>
      <c r="K129" s="16">
        <v>0</v>
      </c>
      <c r="L129" s="70">
        <f t="shared" si="26"/>
        <v>0</v>
      </c>
      <c r="M129" s="16">
        <v>3</v>
      </c>
      <c r="N129" s="16">
        <v>2</v>
      </c>
      <c r="O129" s="16">
        <v>3</v>
      </c>
      <c r="P129" s="16">
        <v>1</v>
      </c>
      <c r="Q129" s="16">
        <v>1</v>
      </c>
      <c r="R129" s="16">
        <v>2</v>
      </c>
    </row>
    <row r="130" spans="1:18" x14ac:dyDescent="0.25">
      <c r="A130" s="21">
        <v>42216</v>
      </c>
      <c r="B130" s="20"/>
      <c r="C130" s="15" t="s">
        <v>64</v>
      </c>
      <c r="D130" s="16">
        <v>2</v>
      </c>
      <c r="E130" s="16">
        <v>4</v>
      </c>
      <c r="F130" s="70">
        <f t="shared" si="24"/>
        <v>0.5</v>
      </c>
      <c r="G130" s="16">
        <v>2</v>
      </c>
      <c r="H130" s="16">
        <v>4</v>
      </c>
      <c r="I130" s="70">
        <f t="shared" si="25"/>
        <v>0.5</v>
      </c>
      <c r="J130" s="16">
        <v>0</v>
      </c>
      <c r="K130" s="16">
        <v>0</v>
      </c>
      <c r="L130" s="70">
        <f t="shared" si="26"/>
        <v>0</v>
      </c>
      <c r="M130" s="16">
        <v>0</v>
      </c>
      <c r="N130" s="16">
        <v>3</v>
      </c>
      <c r="O130" s="16">
        <v>0</v>
      </c>
      <c r="P130" s="16">
        <v>4</v>
      </c>
      <c r="Q130" s="16">
        <v>0</v>
      </c>
      <c r="R130" s="16">
        <v>6</v>
      </c>
    </row>
    <row r="131" spans="1:18" x14ac:dyDescent="0.25">
      <c r="A131" s="21">
        <v>42216</v>
      </c>
      <c r="B131" s="20"/>
      <c r="C131" s="15" t="s">
        <v>68</v>
      </c>
      <c r="D131" s="16">
        <v>5</v>
      </c>
      <c r="E131" s="16">
        <v>8</v>
      </c>
      <c r="F131" s="70">
        <f t="shared" si="24"/>
        <v>0.625</v>
      </c>
      <c r="G131" s="16">
        <v>1</v>
      </c>
      <c r="H131" s="16">
        <v>2</v>
      </c>
      <c r="I131" s="70">
        <f t="shared" si="25"/>
        <v>0.5</v>
      </c>
      <c r="J131" s="16">
        <v>0</v>
      </c>
      <c r="K131" s="16">
        <v>0</v>
      </c>
      <c r="L131" s="70">
        <f t="shared" si="26"/>
        <v>0</v>
      </c>
      <c r="M131" s="16">
        <v>2</v>
      </c>
      <c r="N131" s="16">
        <v>2</v>
      </c>
      <c r="O131" s="16">
        <v>1</v>
      </c>
      <c r="P131" s="16">
        <v>0</v>
      </c>
      <c r="Q131" s="16">
        <v>0</v>
      </c>
      <c r="R131" s="16">
        <v>11</v>
      </c>
    </row>
    <row r="132" spans="1:18" x14ac:dyDescent="0.25">
      <c r="A132" s="21">
        <v>42216</v>
      </c>
      <c r="B132" s="20"/>
      <c r="C132" s="15" t="s">
        <v>67</v>
      </c>
      <c r="D132" s="16">
        <v>5</v>
      </c>
      <c r="E132" s="16">
        <v>11</v>
      </c>
      <c r="F132" s="70">
        <f t="shared" si="24"/>
        <v>0.45454545454545453</v>
      </c>
      <c r="G132" s="16">
        <v>0</v>
      </c>
      <c r="H132" s="16">
        <v>0</v>
      </c>
      <c r="I132" s="70">
        <f t="shared" si="25"/>
        <v>0</v>
      </c>
      <c r="J132" s="16">
        <v>0</v>
      </c>
      <c r="K132" s="16">
        <v>0</v>
      </c>
      <c r="L132" s="70">
        <f t="shared" si="26"/>
        <v>0</v>
      </c>
      <c r="M132" s="16">
        <v>7</v>
      </c>
      <c r="N132" s="16">
        <v>3</v>
      </c>
      <c r="O132" s="16">
        <v>1</v>
      </c>
      <c r="P132" s="16">
        <v>0</v>
      </c>
      <c r="Q132" s="16">
        <v>2</v>
      </c>
      <c r="R132" s="16">
        <v>10</v>
      </c>
    </row>
    <row r="133" spans="1:18" x14ac:dyDescent="0.25">
      <c r="A133" s="21">
        <v>42216</v>
      </c>
      <c r="B133" s="20"/>
      <c r="C133" s="15" t="s">
        <v>88</v>
      </c>
      <c r="D133" s="16">
        <v>3</v>
      </c>
      <c r="E133" s="16">
        <v>9</v>
      </c>
      <c r="F133" s="70">
        <f t="shared" si="24"/>
        <v>0.33333333333333331</v>
      </c>
      <c r="G133" s="16">
        <v>0</v>
      </c>
      <c r="H133" s="16">
        <v>0</v>
      </c>
      <c r="I133" s="70">
        <f t="shared" si="25"/>
        <v>0</v>
      </c>
      <c r="J133" s="16">
        <v>3</v>
      </c>
      <c r="K133" s="16">
        <v>4</v>
      </c>
      <c r="L133" s="70">
        <f t="shared" si="26"/>
        <v>0.75</v>
      </c>
      <c r="M133" s="16">
        <v>7</v>
      </c>
      <c r="N133" s="16">
        <v>0</v>
      </c>
      <c r="O133" s="16">
        <v>0</v>
      </c>
      <c r="P133" s="16">
        <v>0</v>
      </c>
      <c r="Q133" s="16">
        <v>1</v>
      </c>
      <c r="R133" s="16">
        <v>9</v>
      </c>
    </row>
    <row r="134" spans="1:18" x14ac:dyDescent="0.25">
      <c r="A134" s="21">
        <v>42216</v>
      </c>
      <c r="B134" s="20"/>
      <c r="C134" s="15" t="s">
        <v>118</v>
      </c>
      <c r="D134" s="16">
        <v>6</v>
      </c>
      <c r="E134" s="16">
        <v>12</v>
      </c>
      <c r="F134" s="70">
        <f t="shared" si="24"/>
        <v>0.5</v>
      </c>
      <c r="G134" s="16">
        <v>0</v>
      </c>
      <c r="H134" s="16">
        <v>1</v>
      </c>
      <c r="I134" s="70">
        <f t="shared" si="25"/>
        <v>0</v>
      </c>
      <c r="J134" s="16">
        <v>1</v>
      </c>
      <c r="K134" s="16">
        <v>1</v>
      </c>
      <c r="L134" s="70">
        <f t="shared" si="26"/>
        <v>1</v>
      </c>
      <c r="M134" s="16">
        <v>3</v>
      </c>
      <c r="N134" s="16">
        <v>3</v>
      </c>
      <c r="O134" s="16">
        <v>0</v>
      </c>
      <c r="P134" s="16">
        <v>1</v>
      </c>
      <c r="Q134" s="16">
        <v>0</v>
      </c>
      <c r="R134" s="16">
        <v>13</v>
      </c>
    </row>
    <row r="135" spans="1:18" x14ac:dyDescent="0.25">
      <c r="A135" s="77">
        <v>42218</v>
      </c>
      <c r="B135" s="43"/>
      <c r="C135" s="47" t="s">
        <v>64</v>
      </c>
      <c r="D135" s="23">
        <v>7</v>
      </c>
      <c r="E135" s="23">
        <v>16</v>
      </c>
      <c r="F135" s="38">
        <f t="shared" ref="F135:F140" si="27">IF(E135=0,0,D135/E135)</f>
        <v>0.4375</v>
      </c>
      <c r="G135" s="23">
        <v>3</v>
      </c>
      <c r="H135" s="23">
        <v>8</v>
      </c>
      <c r="I135" s="38">
        <f t="shared" ref="I135:I140" si="28">IF(H135=0,0,G135/H135)</f>
        <v>0.375</v>
      </c>
      <c r="J135" s="23">
        <v>2</v>
      </c>
      <c r="K135" s="23">
        <v>2</v>
      </c>
      <c r="L135" s="38">
        <f t="shared" ref="L135:L140" si="29">IF(K135=0,0,J135/K135)</f>
        <v>1</v>
      </c>
      <c r="M135" s="23">
        <v>2</v>
      </c>
      <c r="N135" s="23">
        <v>2</v>
      </c>
      <c r="O135" s="23">
        <v>1</v>
      </c>
      <c r="P135" s="23">
        <v>2</v>
      </c>
      <c r="Q135" s="23">
        <v>0</v>
      </c>
      <c r="R135" s="25">
        <v>19</v>
      </c>
    </row>
    <row r="136" spans="1:18" x14ac:dyDescent="0.25">
      <c r="A136" s="77">
        <v>42218</v>
      </c>
      <c r="B136" s="43"/>
      <c r="C136" s="47" t="s">
        <v>63</v>
      </c>
      <c r="D136" s="23">
        <v>2</v>
      </c>
      <c r="E136" s="23">
        <v>8</v>
      </c>
      <c r="F136" s="38">
        <f t="shared" si="27"/>
        <v>0.25</v>
      </c>
      <c r="G136" s="23">
        <v>0</v>
      </c>
      <c r="H136" s="23">
        <v>5</v>
      </c>
      <c r="I136" s="38">
        <f t="shared" si="28"/>
        <v>0</v>
      </c>
      <c r="J136" s="23">
        <v>0</v>
      </c>
      <c r="K136" s="23">
        <v>2</v>
      </c>
      <c r="L136" s="38">
        <f t="shared" si="29"/>
        <v>0</v>
      </c>
      <c r="M136" s="23">
        <v>1</v>
      </c>
      <c r="N136" s="23">
        <v>1</v>
      </c>
      <c r="O136" s="23">
        <v>2</v>
      </c>
      <c r="P136" s="23">
        <v>0</v>
      </c>
      <c r="Q136" s="23">
        <v>0</v>
      </c>
      <c r="R136" s="25">
        <v>4</v>
      </c>
    </row>
    <row r="137" spans="1:18" x14ac:dyDescent="0.25">
      <c r="A137" s="77">
        <v>42218</v>
      </c>
      <c r="B137" s="43"/>
      <c r="C137" s="47" t="s">
        <v>68</v>
      </c>
      <c r="D137" s="23">
        <v>5</v>
      </c>
      <c r="E137" s="23">
        <v>15</v>
      </c>
      <c r="F137" s="38">
        <f t="shared" si="27"/>
        <v>0.33333333333333331</v>
      </c>
      <c r="G137" s="23">
        <v>2</v>
      </c>
      <c r="H137" s="23">
        <v>5</v>
      </c>
      <c r="I137" s="38">
        <f t="shared" si="28"/>
        <v>0.4</v>
      </c>
      <c r="J137" s="23">
        <v>5</v>
      </c>
      <c r="K137" s="23">
        <v>6</v>
      </c>
      <c r="L137" s="38">
        <f t="shared" si="29"/>
        <v>0.83333333333333337</v>
      </c>
      <c r="M137" s="23">
        <v>3</v>
      </c>
      <c r="N137" s="23">
        <v>3</v>
      </c>
      <c r="O137" s="23">
        <v>1</v>
      </c>
      <c r="P137" s="23">
        <v>1</v>
      </c>
      <c r="Q137" s="23">
        <v>0</v>
      </c>
      <c r="R137" s="25">
        <v>17</v>
      </c>
    </row>
    <row r="138" spans="1:18" x14ac:dyDescent="0.25">
      <c r="A138" s="77">
        <v>42218</v>
      </c>
      <c r="B138" s="43"/>
      <c r="C138" s="47" t="s">
        <v>118</v>
      </c>
      <c r="D138" s="23">
        <v>4</v>
      </c>
      <c r="E138" s="23">
        <v>7</v>
      </c>
      <c r="F138" s="38">
        <f t="shared" si="27"/>
        <v>0.5714285714285714</v>
      </c>
      <c r="G138" s="23">
        <v>0</v>
      </c>
      <c r="H138" s="23">
        <v>0</v>
      </c>
      <c r="I138" s="38">
        <f t="shared" si="28"/>
        <v>0</v>
      </c>
      <c r="J138" s="23">
        <v>2</v>
      </c>
      <c r="K138" s="23">
        <v>2</v>
      </c>
      <c r="L138" s="38">
        <f t="shared" si="29"/>
        <v>1</v>
      </c>
      <c r="M138" s="23">
        <v>1</v>
      </c>
      <c r="N138" s="23">
        <v>4</v>
      </c>
      <c r="O138" s="23">
        <v>1</v>
      </c>
      <c r="P138" s="23">
        <v>1</v>
      </c>
      <c r="Q138" s="23">
        <v>1</v>
      </c>
      <c r="R138" s="25">
        <v>10</v>
      </c>
    </row>
    <row r="139" spans="1:18" x14ac:dyDescent="0.25">
      <c r="A139" s="77">
        <v>42218</v>
      </c>
      <c r="B139" s="43"/>
      <c r="C139" s="47" t="s">
        <v>88</v>
      </c>
      <c r="D139" s="23">
        <v>2</v>
      </c>
      <c r="E139" s="23">
        <v>8</v>
      </c>
      <c r="F139" s="38">
        <f t="shared" si="27"/>
        <v>0.25</v>
      </c>
      <c r="G139" s="23">
        <v>0</v>
      </c>
      <c r="H139" s="23">
        <v>0</v>
      </c>
      <c r="I139" s="38">
        <f t="shared" si="28"/>
        <v>0</v>
      </c>
      <c r="J139" s="23">
        <v>0</v>
      </c>
      <c r="K139" s="23">
        <v>0</v>
      </c>
      <c r="L139" s="38">
        <f t="shared" si="29"/>
        <v>0</v>
      </c>
      <c r="M139" s="23">
        <v>4</v>
      </c>
      <c r="N139" s="23">
        <v>1</v>
      </c>
      <c r="O139" s="23">
        <v>0</v>
      </c>
      <c r="P139" s="23">
        <v>1</v>
      </c>
      <c r="Q139" s="23">
        <v>0</v>
      </c>
      <c r="R139" s="25">
        <v>4</v>
      </c>
    </row>
    <row r="140" spans="1:18" x14ac:dyDescent="0.25">
      <c r="A140" s="77">
        <v>42218</v>
      </c>
      <c r="B140" s="43"/>
      <c r="C140" s="47" t="s">
        <v>67</v>
      </c>
      <c r="D140" s="23">
        <v>4</v>
      </c>
      <c r="E140" s="23">
        <v>8</v>
      </c>
      <c r="F140" s="38">
        <f t="shared" si="27"/>
        <v>0.5</v>
      </c>
      <c r="G140" s="23">
        <v>0</v>
      </c>
      <c r="H140" s="23">
        <v>0</v>
      </c>
      <c r="I140" s="38">
        <f t="shared" si="28"/>
        <v>0</v>
      </c>
      <c r="J140" s="23">
        <v>4</v>
      </c>
      <c r="K140" s="23">
        <v>5</v>
      </c>
      <c r="L140" s="38">
        <f t="shared" si="29"/>
        <v>0.8</v>
      </c>
      <c r="M140" s="23">
        <v>8</v>
      </c>
      <c r="N140" s="23">
        <v>1</v>
      </c>
      <c r="O140" s="23">
        <v>0</v>
      </c>
      <c r="P140" s="23">
        <v>1</v>
      </c>
      <c r="Q140" s="23">
        <v>2</v>
      </c>
      <c r="R140" s="25">
        <v>12</v>
      </c>
    </row>
    <row r="141" spans="1:18" x14ac:dyDescent="0.25">
      <c r="A141" s="77">
        <v>42220</v>
      </c>
      <c r="B141" s="43"/>
      <c r="C141" s="22" t="s">
        <v>68</v>
      </c>
      <c r="D141" s="23">
        <v>1</v>
      </c>
      <c r="E141" s="23">
        <v>5</v>
      </c>
      <c r="F141" s="38">
        <f t="shared" ref="F141:F159" si="30">IF(E141=0,0,D141/E141)</f>
        <v>0.2</v>
      </c>
      <c r="G141" s="23">
        <v>0</v>
      </c>
      <c r="H141" s="23">
        <v>2</v>
      </c>
      <c r="I141" s="38">
        <f t="shared" ref="I141:I159" si="31">IF(H141=0,0,G141/H141)</f>
        <v>0</v>
      </c>
      <c r="J141" s="23">
        <v>0</v>
      </c>
      <c r="K141" s="23">
        <v>0</v>
      </c>
      <c r="L141" s="38">
        <f t="shared" ref="L141:L159" si="32">IF(K141=0,0,J141/K141)</f>
        <v>0</v>
      </c>
      <c r="M141" s="23">
        <v>1</v>
      </c>
      <c r="N141" s="23">
        <v>1</v>
      </c>
      <c r="O141" s="23">
        <v>1</v>
      </c>
      <c r="P141" s="23">
        <v>3</v>
      </c>
      <c r="Q141" s="23">
        <v>0</v>
      </c>
      <c r="R141" s="25">
        <v>2</v>
      </c>
    </row>
    <row r="142" spans="1:18" x14ac:dyDescent="0.25">
      <c r="A142" s="77">
        <v>42220</v>
      </c>
      <c r="B142" s="43"/>
      <c r="C142" s="22" t="s">
        <v>63</v>
      </c>
      <c r="D142" s="23">
        <v>4</v>
      </c>
      <c r="E142" s="23">
        <v>8</v>
      </c>
      <c r="F142" s="38">
        <f t="shared" si="30"/>
        <v>0.5</v>
      </c>
      <c r="G142" s="23">
        <v>2</v>
      </c>
      <c r="H142" s="23">
        <v>4</v>
      </c>
      <c r="I142" s="38">
        <f t="shared" si="31"/>
        <v>0.5</v>
      </c>
      <c r="J142" s="23">
        <v>0</v>
      </c>
      <c r="K142" s="23">
        <v>0</v>
      </c>
      <c r="L142" s="38">
        <f t="shared" si="32"/>
        <v>0</v>
      </c>
      <c r="M142" s="23">
        <v>2</v>
      </c>
      <c r="N142" s="23">
        <v>2</v>
      </c>
      <c r="O142" s="23">
        <v>0</v>
      </c>
      <c r="P142" s="23">
        <v>1</v>
      </c>
      <c r="Q142" s="23">
        <v>0</v>
      </c>
      <c r="R142" s="25">
        <v>10</v>
      </c>
    </row>
    <row r="143" spans="1:18" x14ac:dyDescent="0.25">
      <c r="A143" s="77">
        <v>42220</v>
      </c>
      <c r="B143" s="43"/>
      <c r="C143" s="22" t="s">
        <v>67</v>
      </c>
      <c r="D143" s="23">
        <v>2</v>
      </c>
      <c r="E143" s="23">
        <v>3</v>
      </c>
      <c r="F143" s="38">
        <f t="shared" si="30"/>
        <v>0.66666666666666663</v>
      </c>
      <c r="G143" s="23">
        <v>0</v>
      </c>
      <c r="H143" s="23">
        <v>0</v>
      </c>
      <c r="I143" s="38">
        <f t="shared" si="31"/>
        <v>0</v>
      </c>
      <c r="J143" s="23">
        <v>0</v>
      </c>
      <c r="K143" s="23">
        <v>0</v>
      </c>
      <c r="L143" s="38">
        <f t="shared" si="32"/>
        <v>0</v>
      </c>
      <c r="M143" s="23">
        <v>2</v>
      </c>
      <c r="N143" s="23">
        <v>2</v>
      </c>
      <c r="O143" s="23">
        <v>1</v>
      </c>
      <c r="P143" s="23">
        <v>0</v>
      </c>
      <c r="Q143" s="23">
        <v>1</v>
      </c>
      <c r="R143" s="25">
        <v>4</v>
      </c>
    </row>
    <row r="144" spans="1:18" x14ac:dyDescent="0.25">
      <c r="A144" s="77">
        <v>42220</v>
      </c>
      <c r="B144" s="43"/>
      <c r="C144" s="22" t="s">
        <v>118</v>
      </c>
      <c r="D144" s="23">
        <v>6</v>
      </c>
      <c r="E144" s="23">
        <v>13</v>
      </c>
      <c r="F144" s="38">
        <f t="shared" si="30"/>
        <v>0.46153846153846156</v>
      </c>
      <c r="G144" s="23">
        <v>0</v>
      </c>
      <c r="H144" s="23">
        <v>0</v>
      </c>
      <c r="I144" s="38">
        <f t="shared" si="31"/>
        <v>0</v>
      </c>
      <c r="J144" s="23">
        <v>1</v>
      </c>
      <c r="K144" s="23">
        <v>1</v>
      </c>
      <c r="L144" s="38">
        <f t="shared" si="32"/>
        <v>1</v>
      </c>
      <c r="M144" s="23">
        <v>3</v>
      </c>
      <c r="N144" s="23">
        <v>0</v>
      </c>
      <c r="O144" s="23">
        <v>4</v>
      </c>
      <c r="P144" s="23">
        <v>0</v>
      </c>
      <c r="Q144" s="23">
        <v>0</v>
      </c>
      <c r="R144" s="25">
        <v>13</v>
      </c>
    </row>
    <row r="145" spans="1:18" x14ac:dyDescent="0.25">
      <c r="A145" s="77">
        <v>42221</v>
      </c>
      <c r="B145" s="43"/>
      <c r="C145" s="22" t="s">
        <v>105</v>
      </c>
      <c r="D145" s="23">
        <v>1</v>
      </c>
      <c r="E145" s="23">
        <v>5</v>
      </c>
      <c r="F145" s="38">
        <f t="shared" si="30"/>
        <v>0.2</v>
      </c>
      <c r="G145" s="23">
        <v>0</v>
      </c>
      <c r="H145" s="23">
        <v>2</v>
      </c>
      <c r="I145" s="38">
        <f t="shared" si="31"/>
        <v>0</v>
      </c>
      <c r="J145" s="23">
        <v>0</v>
      </c>
      <c r="K145" s="23">
        <v>0</v>
      </c>
      <c r="L145" s="38">
        <f t="shared" si="32"/>
        <v>0</v>
      </c>
      <c r="M145" s="23">
        <v>2</v>
      </c>
      <c r="N145" s="23">
        <v>2</v>
      </c>
      <c r="O145" s="23">
        <v>1</v>
      </c>
      <c r="P145" s="23">
        <v>0</v>
      </c>
      <c r="Q145" s="23">
        <v>0</v>
      </c>
      <c r="R145" s="25">
        <v>2</v>
      </c>
    </row>
    <row r="146" spans="1:18" x14ac:dyDescent="0.25">
      <c r="A146" s="73">
        <v>42221</v>
      </c>
      <c r="B146" s="20"/>
      <c r="C146" s="15" t="s">
        <v>64</v>
      </c>
      <c r="D146" s="16">
        <v>7</v>
      </c>
      <c r="E146" s="16">
        <v>11</v>
      </c>
      <c r="F146" s="76">
        <f t="shared" si="30"/>
        <v>0.63636363636363635</v>
      </c>
      <c r="G146" s="16">
        <v>3</v>
      </c>
      <c r="H146" s="16">
        <v>6</v>
      </c>
      <c r="I146" s="76">
        <f t="shared" si="31"/>
        <v>0.5</v>
      </c>
      <c r="J146" s="16">
        <v>6</v>
      </c>
      <c r="K146" s="16">
        <v>6</v>
      </c>
      <c r="L146" s="76">
        <f t="shared" si="32"/>
        <v>1</v>
      </c>
      <c r="M146" s="16">
        <v>2</v>
      </c>
      <c r="N146" s="16">
        <v>1</v>
      </c>
      <c r="O146" s="16">
        <v>0</v>
      </c>
      <c r="P146" s="16">
        <v>1</v>
      </c>
      <c r="Q146" s="16">
        <v>0</v>
      </c>
      <c r="R146" s="16">
        <v>23</v>
      </c>
    </row>
    <row r="147" spans="1:18" x14ac:dyDescent="0.25">
      <c r="A147" s="73">
        <v>42222</v>
      </c>
      <c r="B147" s="20"/>
      <c r="C147" s="15" t="s">
        <v>118</v>
      </c>
      <c r="D147" s="16">
        <v>11</v>
      </c>
      <c r="E147" s="16">
        <v>16</v>
      </c>
      <c r="F147" s="76">
        <f t="shared" si="30"/>
        <v>0.6875</v>
      </c>
      <c r="G147" s="16">
        <v>0</v>
      </c>
      <c r="H147" s="16">
        <v>1</v>
      </c>
      <c r="I147" s="76">
        <f t="shared" si="31"/>
        <v>0</v>
      </c>
      <c r="J147" s="16">
        <v>4</v>
      </c>
      <c r="K147" s="16">
        <v>5</v>
      </c>
      <c r="L147" s="76">
        <f t="shared" si="32"/>
        <v>0.8</v>
      </c>
      <c r="M147" s="16">
        <v>5</v>
      </c>
      <c r="N147" s="16">
        <v>1</v>
      </c>
      <c r="O147" s="16">
        <v>2</v>
      </c>
      <c r="P147" s="16">
        <v>1</v>
      </c>
      <c r="Q147" s="16">
        <v>1</v>
      </c>
      <c r="R147" s="16">
        <v>26</v>
      </c>
    </row>
    <row r="148" spans="1:18" x14ac:dyDescent="0.25">
      <c r="A148" s="73">
        <v>42223</v>
      </c>
      <c r="B148" s="20"/>
      <c r="C148" s="15" t="s">
        <v>63</v>
      </c>
      <c r="D148" s="16">
        <v>12</v>
      </c>
      <c r="E148" s="16">
        <v>22</v>
      </c>
      <c r="F148" s="76">
        <f t="shared" si="30"/>
        <v>0.54545454545454541</v>
      </c>
      <c r="G148" s="16">
        <v>3</v>
      </c>
      <c r="H148" s="16">
        <v>4</v>
      </c>
      <c r="I148" s="76">
        <f t="shared" si="31"/>
        <v>0.75</v>
      </c>
      <c r="J148" s="16">
        <v>4</v>
      </c>
      <c r="K148" s="16">
        <v>4</v>
      </c>
      <c r="L148" s="76">
        <f t="shared" si="32"/>
        <v>1</v>
      </c>
      <c r="M148" s="16">
        <v>2</v>
      </c>
      <c r="N148" s="16">
        <v>6</v>
      </c>
      <c r="O148" s="16">
        <v>3</v>
      </c>
      <c r="P148" s="16">
        <v>2</v>
      </c>
      <c r="Q148" s="16">
        <v>0</v>
      </c>
      <c r="R148" s="16">
        <v>31</v>
      </c>
    </row>
    <row r="149" spans="1:18" x14ac:dyDescent="0.25">
      <c r="A149" s="73">
        <v>42223</v>
      </c>
      <c r="B149" s="20"/>
      <c r="C149" s="15" t="s">
        <v>66</v>
      </c>
      <c r="D149" s="16">
        <v>2</v>
      </c>
      <c r="E149" s="16">
        <v>3</v>
      </c>
      <c r="F149" s="76">
        <f t="shared" si="30"/>
        <v>0.66666666666666663</v>
      </c>
      <c r="G149" s="16">
        <v>0</v>
      </c>
      <c r="H149" s="16">
        <v>0</v>
      </c>
      <c r="I149" s="76">
        <f t="shared" si="31"/>
        <v>0</v>
      </c>
      <c r="J149" s="16">
        <v>0</v>
      </c>
      <c r="K149" s="16">
        <v>0</v>
      </c>
      <c r="L149" s="76">
        <f t="shared" si="32"/>
        <v>0</v>
      </c>
      <c r="M149" s="16">
        <v>10</v>
      </c>
      <c r="N149" s="16">
        <v>0</v>
      </c>
      <c r="O149" s="16">
        <v>0</v>
      </c>
      <c r="P149" s="16">
        <v>1</v>
      </c>
      <c r="Q149" s="16">
        <v>0</v>
      </c>
      <c r="R149" s="16">
        <v>4</v>
      </c>
    </row>
    <row r="150" spans="1:18" x14ac:dyDescent="0.25">
      <c r="A150" s="73">
        <v>42223</v>
      </c>
      <c r="B150" s="20"/>
      <c r="C150" s="15" t="s">
        <v>67</v>
      </c>
      <c r="D150" s="16">
        <v>1</v>
      </c>
      <c r="E150" s="16">
        <v>4</v>
      </c>
      <c r="F150" s="76">
        <f t="shared" si="30"/>
        <v>0.25</v>
      </c>
      <c r="G150" s="16">
        <v>0</v>
      </c>
      <c r="H150" s="16">
        <v>0</v>
      </c>
      <c r="I150" s="76">
        <f t="shared" si="31"/>
        <v>0</v>
      </c>
      <c r="J150" s="16">
        <v>0</v>
      </c>
      <c r="K150" s="16">
        <v>0</v>
      </c>
      <c r="L150" s="76">
        <f t="shared" si="32"/>
        <v>0</v>
      </c>
      <c r="M150" s="16">
        <v>5</v>
      </c>
      <c r="N150" s="16">
        <v>1</v>
      </c>
      <c r="O150" s="16">
        <v>0</v>
      </c>
      <c r="P150" s="16">
        <v>2</v>
      </c>
      <c r="Q150" s="16">
        <v>0</v>
      </c>
      <c r="R150" s="16">
        <v>2</v>
      </c>
    </row>
    <row r="151" spans="1:18" x14ac:dyDescent="0.25">
      <c r="A151" s="73">
        <v>42223</v>
      </c>
      <c r="B151" s="20"/>
      <c r="C151" s="15" t="s">
        <v>105</v>
      </c>
      <c r="D151" s="16">
        <v>2</v>
      </c>
      <c r="E151" s="16">
        <v>5</v>
      </c>
      <c r="F151" s="76">
        <f t="shared" si="30"/>
        <v>0.4</v>
      </c>
      <c r="G151" s="16">
        <v>0</v>
      </c>
      <c r="H151" s="16">
        <v>2</v>
      </c>
      <c r="I151" s="76">
        <f t="shared" si="31"/>
        <v>0</v>
      </c>
      <c r="J151" s="16">
        <v>0</v>
      </c>
      <c r="K151" s="16">
        <v>0</v>
      </c>
      <c r="L151" s="76">
        <f t="shared" si="32"/>
        <v>0</v>
      </c>
      <c r="M151" s="16">
        <v>0</v>
      </c>
      <c r="N151" s="16">
        <v>4</v>
      </c>
      <c r="O151" s="16">
        <v>1</v>
      </c>
      <c r="P151" s="16">
        <v>0</v>
      </c>
      <c r="Q151" s="16">
        <v>0</v>
      </c>
      <c r="R151" s="16">
        <v>4</v>
      </c>
    </row>
    <row r="152" spans="1:18" x14ac:dyDescent="0.25">
      <c r="A152" s="73">
        <v>42223</v>
      </c>
      <c r="B152" s="20"/>
      <c r="C152" s="15" t="s">
        <v>64</v>
      </c>
      <c r="D152" s="16">
        <v>3</v>
      </c>
      <c r="E152" s="16">
        <v>11</v>
      </c>
      <c r="F152" s="76">
        <f t="shared" si="30"/>
        <v>0.27272727272727271</v>
      </c>
      <c r="G152" s="16">
        <v>2</v>
      </c>
      <c r="H152" s="16">
        <v>7</v>
      </c>
      <c r="I152" s="76">
        <f t="shared" si="31"/>
        <v>0.2857142857142857</v>
      </c>
      <c r="J152" s="16">
        <v>1</v>
      </c>
      <c r="K152" s="16">
        <v>1</v>
      </c>
      <c r="L152" s="76">
        <f t="shared" si="32"/>
        <v>1</v>
      </c>
      <c r="M152" s="16">
        <v>1</v>
      </c>
      <c r="N152" s="16">
        <v>4</v>
      </c>
      <c r="O152" s="16">
        <v>1</v>
      </c>
      <c r="P152" s="16">
        <v>3</v>
      </c>
      <c r="Q152" s="16">
        <v>0</v>
      </c>
      <c r="R152" s="16">
        <v>9</v>
      </c>
    </row>
    <row r="153" spans="1:18" x14ac:dyDescent="0.25">
      <c r="A153" s="73">
        <v>42224</v>
      </c>
      <c r="B153" s="20"/>
      <c r="C153" s="15" t="s">
        <v>88</v>
      </c>
      <c r="D153" s="16">
        <v>3</v>
      </c>
      <c r="E153" s="16">
        <v>8</v>
      </c>
      <c r="F153" s="76">
        <f t="shared" si="30"/>
        <v>0.375</v>
      </c>
      <c r="G153" s="16">
        <v>0</v>
      </c>
      <c r="H153" s="16">
        <v>0</v>
      </c>
      <c r="I153" s="76">
        <f t="shared" si="31"/>
        <v>0</v>
      </c>
      <c r="J153" s="16">
        <v>0</v>
      </c>
      <c r="K153" s="16">
        <v>0</v>
      </c>
      <c r="L153" s="76">
        <f t="shared" si="32"/>
        <v>0</v>
      </c>
      <c r="M153" s="16">
        <v>5</v>
      </c>
      <c r="N153" s="16">
        <v>1</v>
      </c>
      <c r="O153" s="16">
        <v>1</v>
      </c>
      <c r="P153" s="16">
        <v>2</v>
      </c>
      <c r="Q153" s="16">
        <v>0</v>
      </c>
      <c r="R153" s="16">
        <v>6</v>
      </c>
    </row>
    <row r="154" spans="1:18" x14ac:dyDescent="0.25">
      <c r="A154" s="73">
        <v>42224</v>
      </c>
      <c r="B154" s="20"/>
      <c r="C154" s="15" t="s">
        <v>68</v>
      </c>
      <c r="D154" s="16">
        <v>7</v>
      </c>
      <c r="E154" s="16">
        <v>13</v>
      </c>
      <c r="F154" s="76">
        <f t="shared" si="30"/>
        <v>0.53846153846153844</v>
      </c>
      <c r="G154" s="16">
        <v>6</v>
      </c>
      <c r="H154" s="16">
        <v>9</v>
      </c>
      <c r="I154" s="76">
        <f t="shared" si="31"/>
        <v>0.66666666666666663</v>
      </c>
      <c r="J154" s="16">
        <v>0</v>
      </c>
      <c r="K154" s="16">
        <v>0</v>
      </c>
      <c r="L154" s="76">
        <f t="shared" si="32"/>
        <v>0</v>
      </c>
      <c r="M154" s="16">
        <v>2</v>
      </c>
      <c r="N154" s="16">
        <v>0</v>
      </c>
      <c r="O154" s="16">
        <v>1</v>
      </c>
      <c r="P154" s="16">
        <v>5</v>
      </c>
      <c r="Q154" s="16">
        <v>0</v>
      </c>
      <c r="R154" s="16">
        <v>20</v>
      </c>
    </row>
    <row r="155" spans="1:18" x14ac:dyDescent="0.25">
      <c r="A155" s="71">
        <v>42225</v>
      </c>
      <c r="B155" s="20"/>
      <c r="C155" s="15" t="s">
        <v>67</v>
      </c>
      <c r="D155" s="16">
        <v>1</v>
      </c>
      <c r="E155" s="16">
        <v>7</v>
      </c>
      <c r="F155" s="76">
        <f t="shared" si="30"/>
        <v>0.14285714285714285</v>
      </c>
      <c r="G155" s="16">
        <v>0</v>
      </c>
      <c r="H155" s="16">
        <v>0</v>
      </c>
      <c r="I155" s="76">
        <f t="shared" si="31"/>
        <v>0</v>
      </c>
      <c r="J155" s="16">
        <v>2</v>
      </c>
      <c r="K155" s="16">
        <v>2</v>
      </c>
      <c r="L155" s="76">
        <f t="shared" si="32"/>
        <v>1</v>
      </c>
      <c r="M155" s="16">
        <v>13</v>
      </c>
      <c r="N155" s="16">
        <v>0</v>
      </c>
      <c r="O155" s="16">
        <v>0</v>
      </c>
      <c r="P155" s="16">
        <v>1</v>
      </c>
      <c r="Q155" s="16">
        <v>2</v>
      </c>
      <c r="R155" s="16">
        <v>4</v>
      </c>
    </row>
    <row r="156" spans="1:18" x14ac:dyDescent="0.25">
      <c r="A156" s="71">
        <v>42225</v>
      </c>
      <c r="B156" s="20"/>
      <c r="C156" s="15" t="s">
        <v>63</v>
      </c>
      <c r="D156" s="16">
        <v>1</v>
      </c>
      <c r="E156" s="16">
        <v>6</v>
      </c>
      <c r="F156" s="76">
        <f t="shared" si="30"/>
        <v>0.16666666666666666</v>
      </c>
      <c r="G156" s="16">
        <v>0</v>
      </c>
      <c r="H156" s="16">
        <v>3</v>
      </c>
      <c r="I156" s="76">
        <f t="shared" si="31"/>
        <v>0</v>
      </c>
      <c r="J156" s="16">
        <v>0</v>
      </c>
      <c r="K156" s="16">
        <v>0</v>
      </c>
      <c r="L156" s="76">
        <f t="shared" si="32"/>
        <v>0</v>
      </c>
      <c r="M156" s="16">
        <v>1</v>
      </c>
      <c r="N156" s="16">
        <v>1</v>
      </c>
      <c r="O156" s="16">
        <v>0</v>
      </c>
      <c r="P156" s="16">
        <v>2</v>
      </c>
      <c r="Q156" s="16">
        <v>0</v>
      </c>
      <c r="R156" s="16">
        <v>2</v>
      </c>
    </row>
    <row r="157" spans="1:18" x14ac:dyDescent="0.25">
      <c r="A157" s="71">
        <v>42225</v>
      </c>
      <c r="B157" s="20"/>
      <c r="C157" s="15" t="s">
        <v>105</v>
      </c>
      <c r="D157" s="16">
        <v>1</v>
      </c>
      <c r="E157" s="16">
        <v>4</v>
      </c>
      <c r="F157" s="76">
        <f t="shared" si="30"/>
        <v>0.25</v>
      </c>
      <c r="G157" s="16">
        <v>0</v>
      </c>
      <c r="H157" s="16">
        <v>2</v>
      </c>
      <c r="I157" s="76">
        <f t="shared" si="31"/>
        <v>0</v>
      </c>
      <c r="J157" s="16">
        <v>3</v>
      </c>
      <c r="K157" s="16">
        <v>4</v>
      </c>
      <c r="L157" s="76">
        <f t="shared" si="32"/>
        <v>0.75</v>
      </c>
      <c r="M157" s="16">
        <v>7</v>
      </c>
      <c r="N157" s="16">
        <v>4</v>
      </c>
      <c r="O157" s="16">
        <v>0</v>
      </c>
      <c r="P157" s="16">
        <v>2</v>
      </c>
      <c r="Q157" s="16">
        <v>0</v>
      </c>
      <c r="R157" s="16">
        <v>5</v>
      </c>
    </row>
    <row r="158" spans="1:18" x14ac:dyDescent="0.25">
      <c r="A158" s="71">
        <v>42225</v>
      </c>
      <c r="B158" s="20"/>
      <c r="C158" s="15" t="s">
        <v>64</v>
      </c>
      <c r="D158" s="16">
        <v>2</v>
      </c>
      <c r="E158" s="16">
        <v>8</v>
      </c>
      <c r="F158" s="76">
        <f t="shared" si="30"/>
        <v>0.25</v>
      </c>
      <c r="G158" s="16">
        <v>1</v>
      </c>
      <c r="H158" s="16">
        <v>3</v>
      </c>
      <c r="I158" s="76">
        <f t="shared" si="31"/>
        <v>0.33333333333333331</v>
      </c>
      <c r="J158" s="16">
        <v>3</v>
      </c>
      <c r="K158" s="16">
        <v>4</v>
      </c>
      <c r="L158" s="76">
        <f t="shared" si="32"/>
        <v>0.75</v>
      </c>
      <c r="M158" s="16">
        <v>3</v>
      </c>
      <c r="N158" s="16">
        <v>5</v>
      </c>
      <c r="O158" s="16">
        <v>0</v>
      </c>
      <c r="P158" s="16">
        <v>1</v>
      </c>
      <c r="Q158" s="16">
        <v>0</v>
      </c>
      <c r="R158" s="16">
        <v>8</v>
      </c>
    </row>
    <row r="159" spans="1:18" x14ac:dyDescent="0.25">
      <c r="A159" s="71">
        <v>42225</v>
      </c>
      <c r="B159" s="20"/>
      <c r="C159" s="15" t="s">
        <v>118</v>
      </c>
      <c r="D159" s="16">
        <v>7</v>
      </c>
      <c r="E159" s="16">
        <v>9</v>
      </c>
      <c r="F159" s="76">
        <f t="shared" si="30"/>
        <v>0.77777777777777779</v>
      </c>
      <c r="G159" s="16">
        <v>0</v>
      </c>
      <c r="H159" s="16">
        <v>0</v>
      </c>
      <c r="I159" s="76">
        <f t="shared" si="31"/>
        <v>0</v>
      </c>
      <c r="J159" s="16">
        <v>4</v>
      </c>
      <c r="K159" s="16">
        <v>4</v>
      </c>
      <c r="L159" s="76">
        <f t="shared" si="32"/>
        <v>1</v>
      </c>
      <c r="M159" s="16">
        <v>5</v>
      </c>
      <c r="N159" s="16">
        <v>1</v>
      </c>
      <c r="O159" s="16">
        <v>0</v>
      </c>
      <c r="P159" s="16">
        <v>5</v>
      </c>
      <c r="Q159" s="16">
        <v>0</v>
      </c>
      <c r="R159" s="16">
        <v>18</v>
      </c>
    </row>
    <row r="160" spans="1:18" x14ac:dyDescent="0.25">
      <c r="A160" s="79">
        <v>42227</v>
      </c>
      <c r="B160" s="60"/>
      <c r="C160" s="59" t="s">
        <v>67</v>
      </c>
      <c r="D160" s="57">
        <v>5</v>
      </c>
      <c r="E160" s="57">
        <v>9</v>
      </c>
      <c r="F160" s="78">
        <f t="shared" ref="F160:F170" si="33">IF(E160=0,0,D160/E160)</f>
        <v>0.55555555555555558</v>
      </c>
      <c r="G160" s="57">
        <v>0</v>
      </c>
      <c r="H160" s="57">
        <v>0</v>
      </c>
      <c r="I160" s="78">
        <f t="shared" ref="I160:I170" si="34">IF(H160=0,0,G160/H160)</f>
        <v>0</v>
      </c>
      <c r="J160" s="57">
        <v>1</v>
      </c>
      <c r="K160" s="57">
        <v>1</v>
      </c>
      <c r="L160" s="78">
        <f t="shared" ref="L160:L170" si="35">IF(K160=0,0,J160/K160)</f>
        <v>1</v>
      </c>
      <c r="M160" s="57">
        <v>7</v>
      </c>
      <c r="N160" s="57">
        <v>0</v>
      </c>
      <c r="O160" s="57">
        <v>0</v>
      </c>
      <c r="P160" s="57">
        <v>2</v>
      </c>
      <c r="Q160" s="57">
        <v>0</v>
      </c>
      <c r="R160" s="57">
        <v>11</v>
      </c>
    </row>
    <row r="161" spans="1:18" x14ac:dyDescent="0.25">
      <c r="A161" s="79">
        <v>42227</v>
      </c>
      <c r="B161" s="60"/>
      <c r="C161" s="59" t="s">
        <v>66</v>
      </c>
      <c r="D161" s="57">
        <v>6</v>
      </c>
      <c r="E161" s="57">
        <v>8</v>
      </c>
      <c r="F161" s="78">
        <f t="shared" si="33"/>
        <v>0.75</v>
      </c>
      <c r="G161" s="57">
        <v>0</v>
      </c>
      <c r="H161" s="57">
        <v>0</v>
      </c>
      <c r="I161" s="78">
        <f t="shared" si="34"/>
        <v>0</v>
      </c>
      <c r="J161" s="57">
        <v>1</v>
      </c>
      <c r="K161" s="57">
        <v>2</v>
      </c>
      <c r="L161" s="78">
        <f t="shared" si="35"/>
        <v>0.5</v>
      </c>
      <c r="M161" s="57">
        <v>11</v>
      </c>
      <c r="N161" s="57">
        <v>1</v>
      </c>
      <c r="O161" s="57">
        <v>0</v>
      </c>
      <c r="P161" s="57">
        <v>5</v>
      </c>
      <c r="Q161" s="57">
        <v>2</v>
      </c>
      <c r="R161" s="57">
        <v>13</v>
      </c>
    </row>
    <row r="162" spans="1:18" x14ac:dyDescent="0.25">
      <c r="A162" s="79">
        <v>42227</v>
      </c>
      <c r="B162" s="60"/>
      <c r="C162" s="59" t="s">
        <v>68</v>
      </c>
      <c r="D162" s="57">
        <v>10</v>
      </c>
      <c r="E162" s="57">
        <v>20</v>
      </c>
      <c r="F162" s="78">
        <f t="shared" si="33"/>
        <v>0.5</v>
      </c>
      <c r="G162" s="57">
        <v>3</v>
      </c>
      <c r="H162" s="57">
        <v>7</v>
      </c>
      <c r="I162" s="78">
        <f t="shared" si="34"/>
        <v>0.42857142857142855</v>
      </c>
      <c r="J162" s="57">
        <v>1</v>
      </c>
      <c r="K162" s="57">
        <v>2</v>
      </c>
      <c r="L162" s="78">
        <f t="shared" si="35"/>
        <v>0.5</v>
      </c>
      <c r="M162" s="57">
        <v>4</v>
      </c>
      <c r="N162" s="57">
        <v>1</v>
      </c>
      <c r="O162" s="57">
        <v>1</v>
      </c>
      <c r="P162" s="57">
        <v>0</v>
      </c>
      <c r="Q162" s="57">
        <v>0</v>
      </c>
      <c r="R162" s="57">
        <v>24</v>
      </c>
    </row>
    <row r="163" spans="1:18" x14ac:dyDescent="0.25">
      <c r="A163" s="79">
        <v>42227</v>
      </c>
      <c r="B163" s="60"/>
      <c r="C163" s="59" t="s">
        <v>88</v>
      </c>
      <c r="D163" s="57">
        <v>2</v>
      </c>
      <c r="E163" s="57">
        <v>8</v>
      </c>
      <c r="F163" s="78">
        <f t="shared" si="33"/>
        <v>0.25</v>
      </c>
      <c r="G163" s="57">
        <v>0</v>
      </c>
      <c r="H163" s="57">
        <v>0</v>
      </c>
      <c r="I163" s="78">
        <f t="shared" si="34"/>
        <v>0</v>
      </c>
      <c r="J163" s="57">
        <v>0</v>
      </c>
      <c r="K163" s="57">
        <v>0</v>
      </c>
      <c r="L163" s="78">
        <f t="shared" si="35"/>
        <v>0</v>
      </c>
      <c r="M163" s="57">
        <v>6</v>
      </c>
      <c r="N163" s="57">
        <v>2</v>
      </c>
      <c r="O163" s="57">
        <v>0</v>
      </c>
      <c r="P163" s="57">
        <v>0</v>
      </c>
      <c r="Q163" s="57">
        <v>2</v>
      </c>
      <c r="R163" s="57">
        <v>4</v>
      </c>
    </row>
    <row r="164" spans="1:18" x14ac:dyDescent="0.25">
      <c r="A164" s="79">
        <v>42227</v>
      </c>
      <c r="B164" s="60"/>
      <c r="C164" s="59" t="s">
        <v>118</v>
      </c>
      <c r="D164" s="57">
        <v>8</v>
      </c>
      <c r="E164" s="57">
        <v>17</v>
      </c>
      <c r="F164" s="78">
        <f t="shared" si="33"/>
        <v>0.47058823529411764</v>
      </c>
      <c r="G164" s="57">
        <v>0</v>
      </c>
      <c r="H164" s="57">
        <v>1</v>
      </c>
      <c r="I164" s="78">
        <f t="shared" si="34"/>
        <v>0</v>
      </c>
      <c r="J164" s="57">
        <v>0</v>
      </c>
      <c r="K164" s="57">
        <v>0</v>
      </c>
      <c r="L164" s="78">
        <f t="shared" si="35"/>
        <v>0</v>
      </c>
      <c r="M164" s="57">
        <v>5</v>
      </c>
      <c r="N164" s="57">
        <v>3</v>
      </c>
      <c r="O164" s="57">
        <v>0</v>
      </c>
      <c r="P164" s="57">
        <v>1</v>
      </c>
      <c r="Q164" s="57">
        <v>0</v>
      </c>
      <c r="R164" s="57">
        <v>16</v>
      </c>
    </row>
    <row r="165" spans="1:18" x14ac:dyDescent="0.25">
      <c r="A165" s="79">
        <v>42228</v>
      </c>
      <c r="B165" s="60"/>
      <c r="C165" s="59" t="s">
        <v>63</v>
      </c>
      <c r="D165" s="57">
        <v>8</v>
      </c>
      <c r="E165" s="57">
        <v>19</v>
      </c>
      <c r="F165" s="78">
        <f t="shared" si="33"/>
        <v>0.42105263157894735</v>
      </c>
      <c r="G165" s="57">
        <v>3</v>
      </c>
      <c r="H165" s="57">
        <v>5</v>
      </c>
      <c r="I165" s="78">
        <f t="shared" si="34"/>
        <v>0.6</v>
      </c>
      <c r="J165" s="57">
        <v>6</v>
      </c>
      <c r="K165" s="57">
        <v>6</v>
      </c>
      <c r="L165" s="78">
        <f t="shared" si="35"/>
        <v>1</v>
      </c>
      <c r="M165" s="57">
        <v>2</v>
      </c>
      <c r="N165" s="57">
        <v>1</v>
      </c>
      <c r="O165" s="57">
        <v>2</v>
      </c>
      <c r="P165" s="57">
        <v>3</v>
      </c>
      <c r="Q165" s="57">
        <v>0</v>
      </c>
      <c r="R165" s="57">
        <v>25</v>
      </c>
    </row>
    <row r="166" spans="1:18" x14ac:dyDescent="0.25">
      <c r="A166" s="79">
        <v>42228</v>
      </c>
      <c r="B166" s="60"/>
      <c r="C166" s="59" t="s">
        <v>88</v>
      </c>
      <c r="D166" s="57">
        <v>6</v>
      </c>
      <c r="E166" s="57">
        <v>11</v>
      </c>
      <c r="F166" s="78">
        <f t="shared" si="33"/>
        <v>0.54545454545454541</v>
      </c>
      <c r="G166" s="57">
        <v>0</v>
      </c>
      <c r="H166" s="57">
        <v>0</v>
      </c>
      <c r="I166" s="78">
        <f t="shared" si="34"/>
        <v>0</v>
      </c>
      <c r="J166" s="57">
        <v>2</v>
      </c>
      <c r="K166" s="57">
        <v>2</v>
      </c>
      <c r="L166" s="78">
        <f t="shared" si="35"/>
        <v>1</v>
      </c>
      <c r="M166" s="57">
        <v>3</v>
      </c>
      <c r="N166" s="57">
        <v>0</v>
      </c>
      <c r="O166" s="57">
        <v>0</v>
      </c>
      <c r="P166" s="57">
        <v>0</v>
      </c>
      <c r="Q166" s="57">
        <v>0</v>
      </c>
      <c r="R166" s="57">
        <v>14</v>
      </c>
    </row>
    <row r="167" spans="1:18" x14ac:dyDescent="0.25">
      <c r="A167" s="79">
        <v>42230</v>
      </c>
      <c r="B167" s="60"/>
      <c r="C167" s="59" t="s">
        <v>63</v>
      </c>
      <c r="D167" s="57">
        <v>8</v>
      </c>
      <c r="E167" s="57">
        <v>10</v>
      </c>
      <c r="F167" s="78">
        <f t="shared" si="33"/>
        <v>0.8</v>
      </c>
      <c r="G167" s="57">
        <v>1</v>
      </c>
      <c r="H167" s="57">
        <v>2</v>
      </c>
      <c r="I167" s="78">
        <f t="shared" si="34"/>
        <v>0.5</v>
      </c>
      <c r="J167" s="57">
        <v>2</v>
      </c>
      <c r="K167" s="57">
        <v>2</v>
      </c>
      <c r="L167" s="78">
        <f t="shared" si="35"/>
        <v>1</v>
      </c>
      <c r="M167" s="57">
        <v>2</v>
      </c>
      <c r="N167" s="57">
        <v>5</v>
      </c>
      <c r="O167" s="57">
        <v>0</v>
      </c>
      <c r="P167" s="57">
        <v>2</v>
      </c>
      <c r="Q167" s="57">
        <v>0</v>
      </c>
      <c r="R167" s="57">
        <v>19</v>
      </c>
    </row>
    <row r="168" spans="1:18" x14ac:dyDescent="0.25">
      <c r="A168" s="79">
        <v>42230</v>
      </c>
      <c r="B168" s="60"/>
      <c r="C168" s="59" t="s">
        <v>66</v>
      </c>
      <c r="D168" s="57">
        <v>3</v>
      </c>
      <c r="E168" s="57">
        <v>6</v>
      </c>
      <c r="F168" s="78">
        <f t="shared" si="33"/>
        <v>0.5</v>
      </c>
      <c r="G168" s="57">
        <v>0</v>
      </c>
      <c r="H168" s="57">
        <v>0</v>
      </c>
      <c r="I168" s="78">
        <f t="shared" si="34"/>
        <v>0</v>
      </c>
      <c r="J168" s="57">
        <v>0</v>
      </c>
      <c r="K168" s="57">
        <v>0</v>
      </c>
      <c r="L168" s="78">
        <f t="shared" si="35"/>
        <v>0</v>
      </c>
      <c r="M168" s="57">
        <v>5</v>
      </c>
      <c r="N168" s="57">
        <v>0</v>
      </c>
      <c r="O168" s="57">
        <v>0</v>
      </c>
      <c r="P168" s="57">
        <v>2</v>
      </c>
      <c r="Q168" s="57">
        <v>3</v>
      </c>
      <c r="R168" s="57">
        <v>6</v>
      </c>
    </row>
    <row r="169" spans="1:18" x14ac:dyDescent="0.25">
      <c r="A169" s="79">
        <v>42230</v>
      </c>
      <c r="B169" s="60"/>
      <c r="C169" s="59" t="s">
        <v>88</v>
      </c>
      <c r="D169" s="57">
        <v>4</v>
      </c>
      <c r="E169" s="57">
        <v>10</v>
      </c>
      <c r="F169" s="78">
        <f t="shared" si="33"/>
        <v>0.4</v>
      </c>
      <c r="G169" s="57">
        <v>0</v>
      </c>
      <c r="H169" s="57">
        <v>0</v>
      </c>
      <c r="I169" s="78">
        <f t="shared" si="34"/>
        <v>0</v>
      </c>
      <c r="J169" s="57">
        <v>1</v>
      </c>
      <c r="K169" s="57">
        <v>1</v>
      </c>
      <c r="L169" s="78">
        <f t="shared" si="35"/>
        <v>1</v>
      </c>
      <c r="M169" s="57">
        <v>2</v>
      </c>
      <c r="N169" s="57">
        <v>1</v>
      </c>
      <c r="O169" s="57">
        <v>0</v>
      </c>
      <c r="P169" s="57">
        <v>1</v>
      </c>
      <c r="Q169" s="57">
        <v>1</v>
      </c>
      <c r="R169" s="57">
        <v>9</v>
      </c>
    </row>
    <row r="170" spans="1:18" x14ac:dyDescent="0.25">
      <c r="A170" s="79">
        <v>42230</v>
      </c>
      <c r="B170" s="60"/>
      <c r="C170" s="59" t="s">
        <v>67</v>
      </c>
      <c r="D170" s="57">
        <v>6</v>
      </c>
      <c r="E170" s="57">
        <v>11</v>
      </c>
      <c r="F170" s="78">
        <f t="shared" si="33"/>
        <v>0.54545454545454541</v>
      </c>
      <c r="G170" s="57">
        <v>0</v>
      </c>
      <c r="H170" s="57">
        <v>0</v>
      </c>
      <c r="I170" s="78">
        <f t="shared" si="34"/>
        <v>0</v>
      </c>
      <c r="J170" s="57">
        <v>3</v>
      </c>
      <c r="K170" s="57">
        <v>5</v>
      </c>
      <c r="L170" s="78">
        <f t="shared" si="35"/>
        <v>0.6</v>
      </c>
      <c r="M170" s="57">
        <v>11</v>
      </c>
      <c r="N170" s="57">
        <v>1</v>
      </c>
      <c r="O170" s="57">
        <v>1</v>
      </c>
      <c r="P170" s="57">
        <v>1</v>
      </c>
      <c r="Q170" s="57">
        <v>3</v>
      </c>
      <c r="R170" s="57">
        <v>15</v>
      </c>
    </row>
    <row r="171" spans="1:18" x14ac:dyDescent="0.25">
      <c r="A171" s="43">
        <v>42231</v>
      </c>
      <c r="B171" s="47"/>
      <c r="C171" s="81" t="s">
        <v>66</v>
      </c>
      <c r="D171" s="84">
        <v>2</v>
      </c>
      <c r="E171" s="84">
        <v>4</v>
      </c>
      <c r="F171" s="85">
        <f t="shared" ref="F171:F177" si="36">IF(E171=0,0,D171/E171)</f>
        <v>0.5</v>
      </c>
      <c r="G171" s="84">
        <v>0</v>
      </c>
      <c r="H171" s="84">
        <v>0</v>
      </c>
      <c r="I171" s="85">
        <f t="shared" ref="I171:I177" si="37">IF(H171=0,0,G171/H171)</f>
        <v>0</v>
      </c>
      <c r="J171" s="84">
        <v>4</v>
      </c>
      <c r="K171" s="84">
        <v>4</v>
      </c>
      <c r="L171" s="85">
        <f t="shared" ref="L171:L177" si="38">IF(K171=0,0,J171/K171)</f>
        <v>1</v>
      </c>
      <c r="M171" s="84">
        <v>4</v>
      </c>
      <c r="N171" s="84">
        <v>0</v>
      </c>
      <c r="O171" s="84">
        <v>2</v>
      </c>
      <c r="P171" s="84">
        <v>0</v>
      </c>
      <c r="Q171" s="84">
        <v>1</v>
      </c>
      <c r="R171" s="84">
        <v>8</v>
      </c>
    </row>
    <row r="172" spans="1:18" x14ac:dyDescent="0.25">
      <c r="A172" s="43">
        <v>42232</v>
      </c>
      <c r="B172" s="47"/>
      <c r="C172" s="80" t="s">
        <v>63</v>
      </c>
      <c r="D172" s="84">
        <v>4</v>
      </c>
      <c r="E172" s="84">
        <v>17</v>
      </c>
      <c r="F172" s="85">
        <f t="shared" si="36"/>
        <v>0.23529411764705882</v>
      </c>
      <c r="G172" s="84">
        <v>2</v>
      </c>
      <c r="H172" s="84">
        <v>6</v>
      </c>
      <c r="I172" s="85">
        <f t="shared" si="37"/>
        <v>0.33333333333333331</v>
      </c>
      <c r="J172" s="84">
        <v>2</v>
      </c>
      <c r="K172" s="84">
        <v>2</v>
      </c>
      <c r="L172" s="85">
        <f t="shared" si="38"/>
        <v>1</v>
      </c>
      <c r="M172" s="84">
        <v>0</v>
      </c>
      <c r="N172" s="84">
        <v>3</v>
      </c>
      <c r="O172" s="84">
        <v>2</v>
      </c>
      <c r="P172" s="84">
        <v>0</v>
      </c>
      <c r="Q172" s="84">
        <v>1</v>
      </c>
      <c r="R172" s="84">
        <v>12</v>
      </c>
    </row>
    <row r="173" spans="1:18" x14ac:dyDescent="0.25">
      <c r="A173" s="43">
        <v>42232</v>
      </c>
      <c r="B173" s="47"/>
      <c r="C173" s="80" t="s">
        <v>105</v>
      </c>
      <c r="D173" s="84">
        <v>0</v>
      </c>
      <c r="E173" s="84">
        <v>2</v>
      </c>
      <c r="F173" s="85">
        <f t="shared" si="36"/>
        <v>0</v>
      </c>
      <c r="G173" s="84">
        <v>0</v>
      </c>
      <c r="H173" s="84">
        <v>0</v>
      </c>
      <c r="I173" s="85">
        <f t="shared" si="37"/>
        <v>0</v>
      </c>
      <c r="J173" s="84">
        <v>2</v>
      </c>
      <c r="K173" s="84">
        <v>2</v>
      </c>
      <c r="L173" s="85">
        <f t="shared" si="38"/>
        <v>1</v>
      </c>
      <c r="M173" s="84">
        <v>3</v>
      </c>
      <c r="N173" s="84">
        <v>2</v>
      </c>
      <c r="O173" s="84">
        <v>0</v>
      </c>
      <c r="P173" s="84">
        <v>2</v>
      </c>
      <c r="Q173" s="84">
        <v>0</v>
      </c>
      <c r="R173" s="84">
        <v>2</v>
      </c>
    </row>
    <row r="174" spans="1:18" x14ac:dyDescent="0.25">
      <c r="A174" s="43">
        <v>42232</v>
      </c>
      <c r="B174" s="47"/>
      <c r="C174" s="80" t="s">
        <v>64</v>
      </c>
      <c r="D174" s="84">
        <v>7</v>
      </c>
      <c r="E174" s="84">
        <v>14</v>
      </c>
      <c r="F174" s="85">
        <f t="shared" si="36"/>
        <v>0.5</v>
      </c>
      <c r="G174" s="84">
        <v>3</v>
      </c>
      <c r="H174" s="84">
        <v>7</v>
      </c>
      <c r="I174" s="85">
        <f t="shared" si="37"/>
        <v>0.42857142857142855</v>
      </c>
      <c r="J174" s="84">
        <v>3</v>
      </c>
      <c r="K174" s="84">
        <v>3</v>
      </c>
      <c r="L174" s="85">
        <f t="shared" si="38"/>
        <v>1</v>
      </c>
      <c r="M174" s="84">
        <v>3</v>
      </c>
      <c r="N174" s="84">
        <v>2</v>
      </c>
      <c r="O174" s="84">
        <v>2</v>
      </c>
      <c r="P174" s="84">
        <v>1</v>
      </c>
      <c r="Q174" s="84">
        <v>0</v>
      </c>
      <c r="R174" s="84">
        <v>20</v>
      </c>
    </row>
    <row r="175" spans="1:18" x14ac:dyDescent="0.25">
      <c r="A175" s="43">
        <v>42232</v>
      </c>
      <c r="B175" s="47"/>
      <c r="C175" s="80" t="s">
        <v>67</v>
      </c>
      <c r="D175" s="84">
        <v>2</v>
      </c>
      <c r="E175" s="84">
        <v>5</v>
      </c>
      <c r="F175" s="85">
        <f t="shared" si="36"/>
        <v>0.4</v>
      </c>
      <c r="G175" s="84">
        <v>0</v>
      </c>
      <c r="H175" s="84">
        <v>0</v>
      </c>
      <c r="I175" s="85">
        <f t="shared" si="37"/>
        <v>0</v>
      </c>
      <c r="J175" s="84">
        <v>0</v>
      </c>
      <c r="K175" s="84">
        <v>0</v>
      </c>
      <c r="L175" s="85">
        <f t="shared" si="38"/>
        <v>0</v>
      </c>
      <c r="M175" s="84">
        <v>7</v>
      </c>
      <c r="N175" s="84">
        <v>2</v>
      </c>
      <c r="O175" s="84">
        <v>0</v>
      </c>
      <c r="P175" s="84">
        <v>0</v>
      </c>
      <c r="Q175" s="84">
        <v>0</v>
      </c>
      <c r="R175" s="84">
        <v>4</v>
      </c>
    </row>
    <row r="176" spans="1:18" x14ac:dyDescent="0.25">
      <c r="A176" s="43">
        <v>42232</v>
      </c>
      <c r="B176" s="47"/>
      <c r="C176" s="22" t="s">
        <v>68</v>
      </c>
      <c r="D176" s="84">
        <v>5</v>
      </c>
      <c r="E176" s="84">
        <v>13</v>
      </c>
      <c r="F176" s="85">
        <f t="shared" si="36"/>
        <v>0.38461538461538464</v>
      </c>
      <c r="G176" s="84">
        <v>3</v>
      </c>
      <c r="H176" s="84">
        <v>8</v>
      </c>
      <c r="I176" s="85">
        <f t="shared" si="37"/>
        <v>0.375</v>
      </c>
      <c r="J176" s="84">
        <v>6</v>
      </c>
      <c r="K176" s="84">
        <v>6</v>
      </c>
      <c r="L176" s="85">
        <f t="shared" si="38"/>
        <v>1</v>
      </c>
      <c r="M176" s="84">
        <v>4</v>
      </c>
      <c r="N176" s="84">
        <v>0</v>
      </c>
      <c r="O176" s="84">
        <v>1</v>
      </c>
      <c r="P176" s="84">
        <v>0</v>
      </c>
      <c r="Q176" s="84">
        <v>1</v>
      </c>
      <c r="R176" s="84">
        <v>19</v>
      </c>
    </row>
    <row r="177" spans="1:18" x14ac:dyDescent="0.25">
      <c r="A177" s="43">
        <v>42232</v>
      </c>
      <c r="B177" s="47"/>
      <c r="C177" s="22" t="s">
        <v>88</v>
      </c>
      <c r="D177" s="84">
        <v>4</v>
      </c>
      <c r="E177" s="84">
        <v>9</v>
      </c>
      <c r="F177" s="85">
        <f t="shared" si="36"/>
        <v>0.44444444444444442</v>
      </c>
      <c r="G177" s="84">
        <v>0</v>
      </c>
      <c r="H177" s="84">
        <v>0</v>
      </c>
      <c r="I177" s="85">
        <f t="shared" si="37"/>
        <v>0</v>
      </c>
      <c r="J177" s="84">
        <v>5</v>
      </c>
      <c r="K177" s="84">
        <v>6</v>
      </c>
      <c r="L177" s="85">
        <f t="shared" si="38"/>
        <v>0.83333333333333337</v>
      </c>
      <c r="M177" s="84">
        <v>9</v>
      </c>
      <c r="N177" s="84">
        <v>1</v>
      </c>
      <c r="O177" s="84">
        <v>1</v>
      </c>
      <c r="P177" s="84">
        <v>1</v>
      </c>
      <c r="Q177" s="84">
        <v>0</v>
      </c>
      <c r="R177" s="84">
        <v>13</v>
      </c>
    </row>
    <row r="178" spans="1:18" x14ac:dyDescent="0.25">
      <c r="A178" s="71">
        <v>42235</v>
      </c>
      <c r="B178" s="20"/>
      <c r="C178" s="15" t="s">
        <v>66</v>
      </c>
      <c r="D178" s="16">
        <v>2</v>
      </c>
      <c r="E178" s="16">
        <v>7</v>
      </c>
      <c r="F178" s="96">
        <f t="shared" ref="F178:F193" si="39">IF(E178=0,0,D178/E178)</f>
        <v>0.2857142857142857</v>
      </c>
      <c r="G178" s="16">
        <v>0</v>
      </c>
      <c r="H178" s="16">
        <v>0</v>
      </c>
      <c r="I178" s="96">
        <f t="shared" ref="I178:I193" si="40">IF(H178=0,0,G178/H178)</f>
        <v>0</v>
      </c>
      <c r="J178" s="16">
        <v>0</v>
      </c>
      <c r="K178" s="16">
        <v>0</v>
      </c>
      <c r="L178" s="96">
        <f t="shared" ref="L178:L193" si="41">IF(K178=0,0,J178/K178)</f>
        <v>0</v>
      </c>
      <c r="M178" s="16">
        <v>11</v>
      </c>
      <c r="N178" s="16">
        <v>1</v>
      </c>
      <c r="O178" s="16">
        <v>1</v>
      </c>
      <c r="P178" s="16">
        <v>2</v>
      </c>
      <c r="Q178" s="16">
        <v>2</v>
      </c>
      <c r="R178" s="16">
        <v>4</v>
      </c>
    </row>
    <row r="179" spans="1:18" x14ac:dyDescent="0.25">
      <c r="A179" s="71">
        <v>42235</v>
      </c>
      <c r="B179" s="20"/>
      <c r="C179" s="15" t="s">
        <v>105</v>
      </c>
      <c r="D179" s="16">
        <v>2</v>
      </c>
      <c r="E179" s="16">
        <v>5</v>
      </c>
      <c r="F179" s="96">
        <f t="shared" si="39"/>
        <v>0.4</v>
      </c>
      <c r="G179" s="16">
        <v>0</v>
      </c>
      <c r="H179" s="16">
        <v>1</v>
      </c>
      <c r="I179" s="96">
        <f t="shared" si="40"/>
        <v>0</v>
      </c>
      <c r="J179" s="16">
        <v>0</v>
      </c>
      <c r="K179" s="16">
        <v>1</v>
      </c>
      <c r="L179" s="96">
        <f t="shared" si="41"/>
        <v>0</v>
      </c>
      <c r="M179" s="16">
        <v>2</v>
      </c>
      <c r="N179" s="16">
        <v>2</v>
      </c>
      <c r="O179" s="16">
        <v>0</v>
      </c>
      <c r="P179" s="16">
        <v>1</v>
      </c>
      <c r="Q179" s="16">
        <v>0</v>
      </c>
      <c r="R179" s="16">
        <v>4</v>
      </c>
    </row>
    <row r="180" spans="1:18" x14ac:dyDescent="0.25">
      <c r="A180" s="71">
        <v>42235</v>
      </c>
      <c r="B180" s="20"/>
      <c r="C180" s="15" t="s">
        <v>64</v>
      </c>
      <c r="D180" s="16">
        <v>5</v>
      </c>
      <c r="E180" s="16">
        <v>11</v>
      </c>
      <c r="F180" s="96">
        <f t="shared" si="39"/>
        <v>0.45454545454545453</v>
      </c>
      <c r="G180" s="16">
        <v>3</v>
      </c>
      <c r="H180" s="16">
        <v>5</v>
      </c>
      <c r="I180" s="96">
        <f t="shared" si="40"/>
        <v>0.6</v>
      </c>
      <c r="J180" s="16">
        <v>3</v>
      </c>
      <c r="K180" s="16">
        <v>3</v>
      </c>
      <c r="L180" s="96">
        <f t="shared" si="41"/>
        <v>1</v>
      </c>
      <c r="M180" s="16">
        <v>3</v>
      </c>
      <c r="N180" s="16">
        <v>4</v>
      </c>
      <c r="O180" s="16">
        <v>1</v>
      </c>
      <c r="P180" s="16">
        <v>1</v>
      </c>
      <c r="Q180" s="16">
        <v>0</v>
      </c>
      <c r="R180" s="16">
        <v>16</v>
      </c>
    </row>
    <row r="181" spans="1:18" x14ac:dyDescent="0.25">
      <c r="A181" s="71">
        <v>42235</v>
      </c>
      <c r="B181" s="20"/>
      <c r="C181" s="15" t="s">
        <v>68</v>
      </c>
      <c r="D181" s="16">
        <v>4</v>
      </c>
      <c r="E181" s="16">
        <v>12</v>
      </c>
      <c r="F181" s="96">
        <f t="shared" si="39"/>
        <v>0.33333333333333331</v>
      </c>
      <c r="G181" s="16">
        <v>3</v>
      </c>
      <c r="H181" s="16">
        <v>7</v>
      </c>
      <c r="I181" s="96">
        <f t="shared" si="40"/>
        <v>0.42857142857142855</v>
      </c>
      <c r="J181" s="16">
        <v>0</v>
      </c>
      <c r="K181" s="16">
        <v>0</v>
      </c>
      <c r="L181" s="96">
        <f t="shared" si="41"/>
        <v>0</v>
      </c>
      <c r="M181" s="16">
        <v>5</v>
      </c>
      <c r="N181" s="16">
        <v>1</v>
      </c>
      <c r="O181" s="16">
        <v>0</v>
      </c>
      <c r="P181" s="16">
        <v>5</v>
      </c>
      <c r="Q181" s="16">
        <v>1</v>
      </c>
      <c r="R181" s="16">
        <v>11</v>
      </c>
    </row>
    <row r="182" spans="1:18" x14ac:dyDescent="0.25">
      <c r="A182" s="71">
        <v>42237</v>
      </c>
      <c r="B182" s="20"/>
      <c r="C182" s="15" t="s">
        <v>66</v>
      </c>
      <c r="D182" s="16">
        <v>3</v>
      </c>
      <c r="E182" s="16">
        <v>5</v>
      </c>
      <c r="F182" s="96">
        <f t="shared" si="39"/>
        <v>0.6</v>
      </c>
      <c r="G182" s="16">
        <v>0</v>
      </c>
      <c r="H182" s="16">
        <v>0</v>
      </c>
      <c r="I182" s="96">
        <f t="shared" si="40"/>
        <v>0</v>
      </c>
      <c r="J182" s="16">
        <v>2</v>
      </c>
      <c r="K182" s="16">
        <v>2</v>
      </c>
      <c r="L182" s="96">
        <f t="shared" si="41"/>
        <v>1</v>
      </c>
      <c r="M182" s="16">
        <v>9</v>
      </c>
      <c r="N182" s="16">
        <v>1</v>
      </c>
      <c r="O182" s="16">
        <v>0</v>
      </c>
      <c r="P182" s="16">
        <v>1</v>
      </c>
      <c r="Q182" s="16">
        <v>2</v>
      </c>
      <c r="R182" s="16">
        <v>8</v>
      </c>
    </row>
    <row r="183" spans="1:18" x14ac:dyDescent="0.25">
      <c r="A183" s="71">
        <v>42237</v>
      </c>
      <c r="B183" s="20"/>
      <c r="C183" s="15" t="s">
        <v>68</v>
      </c>
      <c r="D183" s="16">
        <v>5</v>
      </c>
      <c r="E183" s="16">
        <v>15</v>
      </c>
      <c r="F183" s="96">
        <f t="shared" si="39"/>
        <v>0.33333333333333331</v>
      </c>
      <c r="G183" s="16">
        <v>1</v>
      </c>
      <c r="H183" s="16">
        <v>4</v>
      </c>
      <c r="I183" s="96">
        <f t="shared" si="40"/>
        <v>0.25</v>
      </c>
      <c r="J183" s="16">
        <v>2</v>
      </c>
      <c r="K183" s="16">
        <v>2</v>
      </c>
      <c r="L183" s="96">
        <f t="shared" si="41"/>
        <v>1</v>
      </c>
      <c r="M183" s="16">
        <v>3</v>
      </c>
      <c r="N183" s="16">
        <v>2</v>
      </c>
      <c r="O183" s="16">
        <v>1</v>
      </c>
      <c r="P183" s="16">
        <v>1</v>
      </c>
      <c r="Q183" s="16">
        <v>0</v>
      </c>
      <c r="R183" s="16">
        <v>13</v>
      </c>
    </row>
    <row r="184" spans="1:18" x14ac:dyDescent="0.25">
      <c r="A184" s="71">
        <v>42237</v>
      </c>
      <c r="B184" s="20"/>
      <c r="C184" s="15" t="s">
        <v>63</v>
      </c>
      <c r="D184" s="16">
        <v>3</v>
      </c>
      <c r="E184" s="16">
        <v>4</v>
      </c>
      <c r="F184" s="96">
        <f t="shared" si="39"/>
        <v>0.75</v>
      </c>
      <c r="G184" s="16">
        <v>1</v>
      </c>
      <c r="H184" s="16">
        <v>2</v>
      </c>
      <c r="I184" s="96">
        <f t="shared" si="40"/>
        <v>0.5</v>
      </c>
      <c r="J184" s="16">
        <v>0</v>
      </c>
      <c r="K184" s="16">
        <v>0</v>
      </c>
      <c r="L184" s="96">
        <f t="shared" si="41"/>
        <v>0</v>
      </c>
      <c r="M184" s="16">
        <v>0</v>
      </c>
      <c r="N184" s="16">
        <v>1</v>
      </c>
      <c r="O184" s="16">
        <v>0</v>
      </c>
      <c r="P184" s="16">
        <v>2</v>
      </c>
      <c r="Q184" s="16">
        <v>0</v>
      </c>
      <c r="R184" s="16">
        <v>7</v>
      </c>
    </row>
    <row r="185" spans="1:18" x14ac:dyDescent="0.25">
      <c r="A185" s="71">
        <v>42237</v>
      </c>
      <c r="B185" s="20"/>
      <c r="C185" s="15" t="s">
        <v>64</v>
      </c>
      <c r="D185" s="16">
        <v>4</v>
      </c>
      <c r="E185" s="16">
        <v>8</v>
      </c>
      <c r="F185" s="96">
        <f t="shared" si="39"/>
        <v>0.5</v>
      </c>
      <c r="G185" s="16">
        <v>0</v>
      </c>
      <c r="H185" s="16">
        <v>3</v>
      </c>
      <c r="I185" s="96">
        <f t="shared" si="40"/>
        <v>0</v>
      </c>
      <c r="J185" s="16">
        <v>1</v>
      </c>
      <c r="K185" s="16">
        <v>1</v>
      </c>
      <c r="L185" s="96">
        <f t="shared" si="41"/>
        <v>1</v>
      </c>
      <c r="M185" s="16">
        <v>5</v>
      </c>
      <c r="N185" s="16">
        <v>4</v>
      </c>
      <c r="O185" s="16">
        <v>0</v>
      </c>
      <c r="P185" s="16">
        <v>1</v>
      </c>
      <c r="Q185" s="16">
        <v>0</v>
      </c>
      <c r="R185" s="16">
        <v>9</v>
      </c>
    </row>
    <row r="186" spans="1:18" x14ac:dyDescent="0.25">
      <c r="A186" s="71">
        <v>42237</v>
      </c>
      <c r="B186" s="20"/>
      <c r="C186" s="15" t="s">
        <v>67</v>
      </c>
      <c r="D186" s="16">
        <v>2</v>
      </c>
      <c r="E186" s="16">
        <v>7</v>
      </c>
      <c r="F186" s="96">
        <f t="shared" si="39"/>
        <v>0.2857142857142857</v>
      </c>
      <c r="G186" s="16">
        <v>0</v>
      </c>
      <c r="H186" s="16">
        <v>0</v>
      </c>
      <c r="I186" s="96">
        <f t="shared" si="40"/>
        <v>0</v>
      </c>
      <c r="J186" s="16">
        <v>0</v>
      </c>
      <c r="K186" s="16">
        <v>0</v>
      </c>
      <c r="L186" s="96">
        <f t="shared" si="41"/>
        <v>0</v>
      </c>
      <c r="M186" s="16">
        <v>6</v>
      </c>
      <c r="N186" s="16">
        <v>0</v>
      </c>
      <c r="O186" s="16">
        <v>2</v>
      </c>
      <c r="P186" s="16">
        <v>1</v>
      </c>
      <c r="Q186" s="16">
        <v>0</v>
      </c>
      <c r="R186" s="16">
        <v>4</v>
      </c>
    </row>
    <row r="187" spans="1:18" x14ac:dyDescent="0.25">
      <c r="A187" s="71">
        <v>42237</v>
      </c>
      <c r="B187" s="20"/>
      <c r="C187" s="15" t="s">
        <v>88</v>
      </c>
      <c r="D187" s="16">
        <v>4</v>
      </c>
      <c r="E187" s="16">
        <v>10</v>
      </c>
      <c r="F187" s="96">
        <f t="shared" si="39"/>
        <v>0.4</v>
      </c>
      <c r="G187" s="16">
        <v>0</v>
      </c>
      <c r="H187" s="16">
        <v>0</v>
      </c>
      <c r="I187" s="96">
        <f t="shared" si="40"/>
        <v>0</v>
      </c>
      <c r="J187" s="16">
        <v>1</v>
      </c>
      <c r="K187" s="16">
        <v>2</v>
      </c>
      <c r="L187" s="96">
        <f t="shared" si="41"/>
        <v>0.5</v>
      </c>
      <c r="M187" s="16">
        <v>2</v>
      </c>
      <c r="N187" s="16">
        <v>0</v>
      </c>
      <c r="O187" s="16">
        <v>0</v>
      </c>
      <c r="P187" s="16">
        <v>1</v>
      </c>
      <c r="Q187" s="16">
        <v>2</v>
      </c>
      <c r="R187" s="16">
        <v>9</v>
      </c>
    </row>
    <row r="188" spans="1:18" x14ac:dyDescent="0.25">
      <c r="A188" s="21">
        <v>42239</v>
      </c>
      <c r="B188" s="20"/>
      <c r="C188" s="15" t="s">
        <v>67</v>
      </c>
      <c r="D188" s="16">
        <v>2</v>
      </c>
      <c r="E188" s="16">
        <v>3</v>
      </c>
      <c r="F188" s="96">
        <f t="shared" si="39"/>
        <v>0.66666666666666663</v>
      </c>
      <c r="G188" s="16">
        <v>0</v>
      </c>
      <c r="H188" s="16">
        <v>0</v>
      </c>
      <c r="I188" s="96">
        <f t="shared" si="40"/>
        <v>0</v>
      </c>
      <c r="J188" s="16">
        <v>0</v>
      </c>
      <c r="K188" s="16">
        <v>0</v>
      </c>
      <c r="L188" s="96">
        <f t="shared" si="41"/>
        <v>0</v>
      </c>
      <c r="M188" s="16">
        <v>2</v>
      </c>
      <c r="N188" s="16">
        <v>2</v>
      </c>
      <c r="O188" s="16">
        <v>0</v>
      </c>
      <c r="P188" s="16">
        <v>3</v>
      </c>
      <c r="Q188" s="16">
        <v>1</v>
      </c>
      <c r="R188" s="16">
        <v>4</v>
      </c>
    </row>
    <row r="189" spans="1:18" x14ac:dyDescent="0.25">
      <c r="A189" s="21">
        <v>42239</v>
      </c>
      <c r="B189" s="20"/>
      <c r="C189" s="15" t="s">
        <v>105</v>
      </c>
      <c r="D189" s="16">
        <v>0</v>
      </c>
      <c r="E189" s="16">
        <v>2</v>
      </c>
      <c r="F189" s="96">
        <f t="shared" si="39"/>
        <v>0</v>
      </c>
      <c r="G189" s="16">
        <v>0</v>
      </c>
      <c r="H189" s="16">
        <v>1</v>
      </c>
      <c r="I189" s="96">
        <f t="shared" si="40"/>
        <v>0</v>
      </c>
      <c r="J189" s="16">
        <v>1</v>
      </c>
      <c r="K189" s="16">
        <v>2</v>
      </c>
      <c r="L189" s="96">
        <f t="shared" si="41"/>
        <v>0.5</v>
      </c>
      <c r="M189" s="16">
        <v>1</v>
      </c>
      <c r="N189" s="16">
        <v>1</v>
      </c>
      <c r="O189" s="16">
        <v>0</v>
      </c>
      <c r="P189" s="16">
        <v>0</v>
      </c>
      <c r="Q189" s="16">
        <v>0</v>
      </c>
      <c r="R189" s="16">
        <v>1</v>
      </c>
    </row>
    <row r="190" spans="1:18" x14ac:dyDescent="0.25">
      <c r="A190" s="21">
        <v>42239</v>
      </c>
      <c r="B190" s="20"/>
      <c r="C190" s="15" t="s">
        <v>64</v>
      </c>
      <c r="D190" s="16">
        <v>5</v>
      </c>
      <c r="E190" s="16">
        <v>12</v>
      </c>
      <c r="F190" s="96">
        <f t="shared" si="39"/>
        <v>0.41666666666666669</v>
      </c>
      <c r="G190" s="16">
        <v>3</v>
      </c>
      <c r="H190" s="16">
        <v>7</v>
      </c>
      <c r="I190" s="96">
        <f t="shared" si="40"/>
        <v>0.42857142857142855</v>
      </c>
      <c r="J190" s="16">
        <v>2</v>
      </c>
      <c r="K190" s="16">
        <v>2</v>
      </c>
      <c r="L190" s="96">
        <f t="shared" si="41"/>
        <v>1</v>
      </c>
      <c r="M190" s="16">
        <v>4</v>
      </c>
      <c r="N190" s="16">
        <v>4</v>
      </c>
      <c r="O190" s="16">
        <v>0</v>
      </c>
      <c r="P190" s="16">
        <v>2</v>
      </c>
      <c r="Q190" s="16">
        <v>0</v>
      </c>
      <c r="R190" s="16">
        <v>15</v>
      </c>
    </row>
    <row r="191" spans="1:18" x14ac:dyDescent="0.25">
      <c r="A191" s="21">
        <v>42239</v>
      </c>
      <c r="B191" s="20"/>
      <c r="C191" s="15" t="s">
        <v>68</v>
      </c>
      <c r="D191" s="16">
        <v>5</v>
      </c>
      <c r="E191" s="16">
        <v>17</v>
      </c>
      <c r="F191" s="96">
        <f t="shared" si="39"/>
        <v>0.29411764705882354</v>
      </c>
      <c r="G191" s="16">
        <v>1</v>
      </c>
      <c r="H191" s="16">
        <v>4</v>
      </c>
      <c r="I191" s="96">
        <f t="shared" si="40"/>
        <v>0.25</v>
      </c>
      <c r="J191" s="16">
        <v>2</v>
      </c>
      <c r="K191" s="16">
        <v>2</v>
      </c>
      <c r="L191" s="96">
        <f t="shared" si="41"/>
        <v>1</v>
      </c>
      <c r="M191" s="16">
        <v>1</v>
      </c>
      <c r="N191" s="16">
        <v>0</v>
      </c>
      <c r="O191" s="16">
        <v>2</v>
      </c>
      <c r="P191" s="16">
        <v>1</v>
      </c>
      <c r="Q191" s="16">
        <v>0</v>
      </c>
      <c r="R191" s="16">
        <v>13</v>
      </c>
    </row>
    <row r="192" spans="1:18" x14ac:dyDescent="0.25">
      <c r="A192" s="21">
        <v>42239</v>
      </c>
      <c r="B192" s="20"/>
      <c r="C192" s="15" t="s">
        <v>160</v>
      </c>
      <c r="D192" s="16">
        <v>3</v>
      </c>
      <c r="E192" s="16">
        <v>5</v>
      </c>
      <c r="F192" s="96">
        <f t="shared" si="39"/>
        <v>0.6</v>
      </c>
      <c r="G192" s="16">
        <v>1</v>
      </c>
      <c r="H192" s="16">
        <v>2</v>
      </c>
      <c r="I192" s="96">
        <f t="shared" si="40"/>
        <v>0.5</v>
      </c>
      <c r="J192" s="16">
        <v>0</v>
      </c>
      <c r="K192" s="16">
        <v>0</v>
      </c>
      <c r="L192" s="96">
        <f t="shared" si="41"/>
        <v>0</v>
      </c>
      <c r="M192" s="16">
        <v>2</v>
      </c>
      <c r="N192" s="16">
        <v>4</v>
      </c>
      <c r="O192" s="16">
        <v>0</v>
      </c>
      <c r="P192" s="16">
        <v>4</v>
      </c>
      <c r="Q192" s="16">
        <v>0</v>
      </c>
      <c r="R192" s="16">
        <v>7</v>
      </c>
    </row>
    <row r="193" spans="1:18" x14ac:dyDescent="0.25">
      <c r="A193" s="21">
        <v>42239</v>
      </c>
      <c r="B193" s="20"/>
      <c r="C193" s="15" t="s">
        <v>66</v>
      </c>
      <c r="D193" s="16">
        <v>4</v>
      </c>
      <c r="E193" s="16">
        <v>6</v>
      </c>
      <c r="F193" s="96">
        <f t="shared" si="39"/>
        <v>0.66666666666666663</v>
      </c>
      <c r="G193" s="16">
        <v>0</v>
      </c>
      <c r="H193" s="16">
        <v>0</v>
      </c>
      <c r="I193" s="96">
        <f t="shared" si="40"/>
        <v>0</v>
      </c>
      <c r="J193" s="16">
        <v>0</v>
      </c>
      <c r="K193" s="16">
        <v>0</v>
      </c>
      <c r="L193" s="96">
        <f t="shared" si="41"/>
        <v>0</v>
      </c>
      <c r="M193" s="16">
        <v>6</v>
      </c>
      <c r="N193" s="16">
        <v>0</v>
      </c>
      <c r="O193" s="16">
        <v>1</v>
      </c>
      <c r="P193" s="16">
        <v>1</v>
      </c>
      <c r="Q193" s="16">
        <v>4</v>
      </c>
      <c r="R193" s="16">
        <v>8</v>
      </c>
    </row>
    <row r="194" spans="1:18" x14ac:dyDescent="0.25">
      <c r="A194" s="71">
        <v>42243</v>
      </c>
      <c r="B194" s="20"/>
      <c r="C194" s="15" t="s">
        <v>160</v>
      </c>
      <c r="D194" s="16">
        <v>0</v>
      </c>
      <c r="E194" s="16">
        <v>1</v>
      </c>
      <c r="F194" s="98">
        <f t="shared" ref="F194:F204" si="42">IF(E194=0,0,D194/E194)</f>
        <v>0</v>
      </c>
      <c r="G194" s="16">
        <v>0</v>
      </c>
      <c r="H194" s="16">
        <v>0</v>
      </c>
      <c r="I194" s="98">
        <f t="shared" ref="I194:I204" si="43">IF(H194=0,0,G194/H194)</f>
        <v>0</v>
      </c>
      <c r="J194" s="16">
        <v>0</v>
      </c>
      <c r="K194" s="16">
        <v>0</v>
      </c>
      <c r="L194" s="98">
        <f t="shared" ref="L194:L204" si="44">IF(K194=0,0,J194/K194)</f>
        <v>0</v>
      </c>
      <c r="M194" s="16">
        <v>1</v>
      </c>
      <c r="N194" s="16">
        <v>1</v>
      </c>
      <c r="O194" s="16">
        <v>1</v>
      </c>
      <c r="P194" s="16">
        <v>3</v>
      </c>
      <c r="Q194" s="16">
        <v>0</v>
      </c>
      <c r="R194" s="16">
        <v>0</v>
      </c>
    </row>
    <row r="195" spans="1:18" x14ac:dyDescent="0.25">
      <c r="A195" s="71">
        <v>42244</v>
      </c>
      <c r="B195" s="20"/>
      <c r="C195" s="15" t="s">
        <v>160</v>
      </c>
      <c r="D195" s="16">
        <v>1</v>
      </c>
      <c r="E195" s="16">
        <v>2</v>
      </c>
      <c r="F195" s="98">
        <f t="shared" si="42"/>
        <v>0.5</v>
      </c>
      <c r="G195" s="16">
        <v>0</v>
      </c>
      <c r="H195" s="16">
        <v>1</v>
      </c>
      <c r="I195" s="98">
        <f t="shared" si="43"/>
        <v>0</v>
      </c>
      <c r="J195" s="16">
        <v>0</v>
      </c>
      <c r="K195" s="16">
        <v>0</v>
      </c>
      <c r="L195" s="98">
        <f t="shared" si="44"/>
        <v>0</v>
      </c>
      <c r="M195" s="16">
        <v>2</v>
      </c>
      <c r="N195" s="16">
        <v>1</v>
      </c>
      <c r="O195" s="16">
        <v>0</v>
      </c>
      <c r="P195" s="16">
        <v>2</v>
      </c>
      <c r="Q195" s="16">
        <v>0</v>
      </c>
      <c r="R195" s="16">
        <v>2</v>
      </c>
    </row>
    <row r="196" spans="1:18" x14ac:dyDescent="0.25">
      <c r="A196" s="71">
        <v>42244</v>
      </c>
      <c r="B196" s="20"/>
      <c r="C196" s="15" t="s">
        <v>64</v>
      </c>
      <c r="D196" s="16">
        <v>6</v>
      </c>
      <c r="E196" s="16">
        <v>11</v>
      </c>
      <c r="F196" s="98">
        <f t="shared" si="42"/>
        <v>0.54545454545454541</v>
      </c>
      <c r="G196" s="16">
        <v>3</v>
      </c>
      <c r="H196" s="16">
        <v>5</v>
      </c>
      <c r="I196" s="98">
        <f t="shared" si="43"/>
        <v>0.6</v>
      </c>
      <c r="J196" s="16">
        <v>9</v>
      </c>
      <c r="K196" s="16">
        <v>9</v>
      </c>
      <c r="L196" s="98">
        <f t="shared" si="44"/>
        <v>1</v>
      </c>
      <c r="M196" s="16">
        <v>1</v>
      </c>
      <c r="N196" s="16">
        <v>5</v>
      </c>
      <c r="O196" s="16">
        <v>3</v>
      </c>
      <c r="P196" s="16">
        <v>0</v>
      </c>
      <c r="Q196" s="16">
        <v>0</v>
      </c>
      <c r="R196" s="16">
        <v>24</v>
      </c>
    </row>
    <row r="197" spans="1:18" x14ac:dyDescent="0.25">
      <c r="A197" s="71">
        <v>42244</v>
      </c>
      <c r="B197" s="20"/>
      <c r="C197" s="15" t="s">
        <v>68</v>
      </c>
      <c r="D197" s="16">
        <v>3</v>
      </c>
      <c r="E197" s="16">
        <v>14</v>
      </c>
      <c r="F197" s="98">
        <f t="shared" si="42"/>
        <v>0.21428571428571427</v>
      </c>
      <c r="G197" s="16">
        <v>1</v>
      </c>
      <c r="H197" s="16">
        <v>3</v>
      </c>
      <c r="I197" s="98">
        <f t="shared" si="43"/>
        <v>0.33333333333333331</v>
      </c>
      <c r="J197" s="16">
        <v>0</v>
      </c>
      <c r="K197" s="16">
        <v>0</v>
      </c>
      <c r="L197" s="98">
        <f t="shared" si="44"/>
        <v>0</v>
      </c>
      <c r="M197" s="16">
        <v>2</v>
      </c>
      <c r="N197" s="16">
        <v>4</v>
      </c>
      <c r="O197" s="16">
        <v>3</v>
      </c>
      <c r="P197" s="16">
        <v>1</v>
      </c>
      <c r="Q197" s="16">
        <v>0</v>
      </c>
      <c r="R197" s="16">
        <v>7</v>
      </c>
    </row>
    <row r="198" spans="1:18" x14ac:dyDescent="0.25">
      <c r="A198" s="14">
        <v>42245</v>
      </c>
      <c r="B198" s="15"/>
      <c r="C198" s="15" t="s">
        <v>66</v>
      </c>
      <c r="D198" s="16">
        <v>6</v>
      </c>
      <c r="E198" s="16">
        <v>8</v>
      </c>
      <c r="F198" s="98">
        <f t="shared" si="42"/>
        <v>0.75</v>
      </c>
      <c r="G198" s="16">
        <v>0</v>
      </c>
      <c r="H198" s="16">
        <v>0</v>
      </c>
      <c r="I198" s="98">
        <f t="shared" si="43"/>
        <v>0</v>
      </c>
      <c r="J198" s="16">
        <v>0</v>
      </c>
      <c r="K198" s="16">
        <v>0</v>
      </c>
      <c r="L198" s="98">
        <f t="shared" si="44"/>
        <v>0</v>
      </c>
      <c r="M198" s="16">
        <v>10</v>
      </c>
      <c r="N198" s="16">
        <v>1</v>
      </c>
      <c r="O198" s="16">
        <v>1</v>
      </c>
      <c r="P198" s="16">
        <v>2</v>
      </c>
      <c r="Q198" s="16">
        <v>1</v>
      </c>
      <c r="R198" s="16">
        <v>12</v>
      </c>
    </row>
    <row r="199" spans="1:18" x14ac:dyDescent="0.25">
      <c r="A199" s="21">
        <v>42245</v>
      </c>
      <c r="B199" s="20"/>
      <c r="C199" s="20" t="s">
        <v>67</v>
      </c>
      <c r="D199" s="99">
        <v>7</v>
      </c>
      <c r="E199" s="99">
        <v>10</v>
      </c>
      <c r="F199" s="98">
        <f t="shared" si="42"/>
        <v>0.7</v>
      </c>
      <c r="G199" s="99">
        <v>0</v>
      </c>
      <c r="H199" s="99">
        <v>0</v>
      </c>
      <c r="I199" s="98">
        <f t="shared" si="43"/>
        <v>0</v>
      </c>
      <c r="J199" s="99">
        <v>1</v>
      </c>
      <c r="K199" s="99">
        <v>2</v>
      </c>
      <c r="L199" s="98">
        <f t="shared" si="44"/>
        <v>0.5</v>
      </c>
      <c r="M199" s="99">
        <v>4</v>
      </c>
      <c r="N199" s="99">
        <v>1</v>
      </c>
      <c r="O199" s="99">
        <v>0</v>
      </c>
      <c r="P199" s="99">
        <v>0</v>
      </c>
      <c r="Q199" s="99">
        <v>0</v>
      </c>
      <c r="R199" s="99">
        <v>15</v>
      </c>
    </row>
    <row r="200" spans="1:18" x14ac:dyDescent="0.25">
      <c r="A200" s="71">
        <v>42246</v>
      </c>
      <c r="B200" s="20"/>
      <c r="C200" s="15" t="s">
        <v>67</v>
      </c>
      <c r="D200" s="16">
        <v>6</v>
      </c>
      <c r="E200" s="16">
        <v>12</v>
      </c>
      <c r="F200" s="98">
        <f t="shared" si="42"/>
        <v>0.5</v>
      </c>
      <c r="G200" s="16">
        <v>0</v>
      </c>
      <c r="H200" s="16">
        <v>0</v>
      </c>
      <c r="I200" s="98">
        <f t="shared" si="43"/>
        <v>0</v>
      </c>
      <c r="J200" s="16">
        <v>0</v>
      </c>
      <c r="K200" s="16">
        <v>0</v>
      </c>
      <c r="L200" s="98">
        <f t="shared" si="44"/>
        <v>0</v>
      </c>
      <c r="M200" s="16">
        <v>7</v>
      </c>
      <c r="N200" s="16">
        <v>3</v>
      </c>
      <c r="O200" s="16">
        <v>1</v>
      </c>
      <c r="P200" s="16">
        <v>1</v>
      </c>
      <c r="Q200" s="16">
        <v>3</v>
      </c>
      <c r="R200" s="16">
        <v>12</v>
      </c>
    </row>
    <row r="201" spans="1:18" x14ac:dyDescent="0.25">
      <c r="A201" s="71">
        <v>42246</v>
      </c>
      <c r="B201" s="20"/>
      <c r="C201" s="15" t="s">
        <v>68</v>
      </c>
      <c r="D201" s="16">
        <v>1</v>
      </c>
      <c r="E201" s="16">
        <v>11</v>
      </c>
      <c r="F201" s="98">
        <f t="shared" si="42"/>
        <v>9.0909090909090912E-2</v>
      </c>
      <c r="G201" s="16">
        <v>0</v>
      </c>
      <c r="H201" s="16">
        <v>4</v>
      </c>
      <c r="I201" s="98">
        <f t="shared" si="43"/>
        <v>0</v>
      </c>
      <c r="J201" s="16">
        <v>2</v>
      </c>
      <c r="K201" s="16">
        <v>2</v>
      </c>
      <c r="L201" s="98">
        <f t="shared" si="44"/>
        <v>1</v>
      </c>
      <c r="M201" s="16">
        <v>5</v>
      </c>
      <c r="N201" s="16">
        <v>1</v>
      </c>
      <c r="O201" s="16">
        <v>0</v>
      </c>
      <c r="P201" s="16">
        <v>0</v>
      </c>
      <c r="Q201" s="16">
        <v>0</v>
      </c>
      <c r="R201" s="16">
        <v>4</v>
      </c>
    </row>
    <row r="202" spans="1:18" x14ac:dyDescent="0.25">
      <c r="A202" s="71">
        <v>42246</v>
      </c>
      <c r="B202" s="20"/>
      <c r="C202" s="15" t="s">
        <v>105</v>
      </c>
      <c r="D202" s="16">
        <v>3</v>
      </c>
      <c r="E202" s="16">
        <v>5</v>
      </c>
      <c r="F202" s="98">
        <f t="shared" si="42"/>
        <v>0.6</v>
      </c>
      <c r="G202" s="16">
        <v>0</v>
      </c>
      <c r="H202" s="16">
        <v>1</v>
      </c>
      <c r="I202" s="98">
        <f t="shared" si="43"/>
        <v>0</v>
      </c>
      <c r="J202" s="16">
        <v>2</v>
      </c>
      <c r="K202" s="16">
        <v>2</v>
      </c>
      <c r="L202" s="98">
        <f t="shared" si="44"/>
        <v>1</v>
      </c>
      <c r="M202" s="16">
        <v>4</v>
      </c>
      <c r="N202" s="16">
        <v>4</v>
      </c>
      <c r="O202" s="16">
        <v>0</v>
      </c>
      <c r="P202" s="16">
        <v>4</v>
      </c>
      <c r="Q202" s="16">
        <v>0</v>
      </c>
      <c r="R202" s="16">
        <v>8</v>
      </c>
    </row>
    <row r="203" spans="1:18" x14ac:dyDescent="0.25">
      <c r="A203" s="71">
        <v>42246</v>
      </c>
      <c r="B203" s="20"/>
      <c r="C203" s="15" t="s">
        <v>64</v>
      </c>
      <c r="D203" s="16">
        <v>5</v>
      </c>
      <c r="E203" s="16">
        <v>13</v>
      </c>
      <c r="F203" s="98">
        <f t="shared" si="42"/>
        <v>0.38461538461538464</v>
      </c>
      <c r="G203" s="16">
        <v>2</v>
      </c>
      <c r="H203" s="16">
        <v>6</v>
      </c>
      <c r="I203" s="98">
        <f t="shared" si="43"/>
        <v>0.33333333333333331</v>
      </c>
      <c r="J203" s="16">
        <v>0</v>
      </c>
      <c r="K203" s="16">
        <v>0</v>
      </c>
      <c r="L203" s="98">
        <f t="shared" si="44"/>
        <v>0</v>
      </c>
      <c r="M203" s="16">
        <v>0</v>
      </c>
      <c r="N203" s="16">
        <v>1</v>
      </c>
      <c r="O203" s="16">
        <v>0</v>
      </c>
      <c r="P203" s="16">
        <v>2</v>
      </c>
      <c r="Q203" s="16">
        <v>0</v>
      </c>
      <c r="R203" s="16">
        <v>12</v>
      </c>
    </row>
    <row r="204" spans="1:18" x14ac:dyDescent="0.25">
      <c r="A204" s="71">
        <v>42246</v>
      </c>
      <c r="B204" s="20"/>
      <c r="C204" s="15" t="s">
        <v>162</v>
      </c>
      <c r="D204" s="16">
        <v>1</v>
      </c>
      <c r="E204" s="16">
        <v>2</v>
      </c>
      <c r="F204" s="98">
        <f t="shared" si="42"/>
        <v>0.5</v>
      </c>
      <c r="G204" s="16">
        <v>0</v>
      </c>
      <c r="H204" s="16">
        <v>0</v>
      </c>
      <c r="I204" s="98">
        <f t="shared" si="43"/>
        <v>0</v>
      </c>
      <c r="J204" s="16">
        <v>2</v>
      </c>
      <c r="K204" s="16">
        <v>2</v>
      </c>
      <c r="L204" s="98">
        <f t="shared" si="44"/>
        <v>1</v>
      </c>
      <c r="M204" s="16">
        <v>3</v>
      </c>
      <c r="N204" s="16">
        <v>0</v>
      </c>
      <c r="O204" s="16">
        <v>0</v>
      </c>
      <c r="P204" s="16">
        <v>1</v>
      </c>
      <c r="Q204" s="16">
        <v>0</v>
      </c>
      <c r="R204" s="16">
        <v>4</v>
      </c>
    </row>
    <row r="205" spans="1:18" x14ac:dyDescent="0.25">
      <c r="A205" s="71">
        <v>42248</v>
      </c>
      <c r="B205" s="20"/>
      <c r="C205" s="15" t="s">
        <v>66</v>
      </c>
      <c r="D205" s="16">
        <v>5</v>
      </c>
      <c r="E205" s="16">
        <v>5</v>
      </c>
      <c r="F205" s="100">
        <f t="shared" ref="F205:F221" si="45">IF(E205=0,0,D205/E205)</f>
        <v>1</v>
      </c>
      <c r="G205" s="16">
        <v>0</v>
      </c>
      <c r="H205" s="16">
        <v>0</v>
      </c>
      <c r="I205" s="100">
        <f t="shared" ref="I205:I221" si="46">IF(H205=0,0,G205/H205)</f>
        <v>0</v>
      </c>
      <c r="J205" s="16">
        <v>0</v>
      </c>
      <c r="K205" s="16">
        <v>0</v>
      </c>
      <c r="L205" s="100">
        <f t="shared" ref="L205:L221" si="47">IF(K205=0,0,J205/K205)</f>
        <v>0</v>
      </c>
      <c r="M205" s="16">
        <v>7</v>
      </c>
      <c r="N205" s="16">
        <v>1</v>
      </c>
      <c r="O205" s="16">
        <v>4</v>
      </c>
      <c r="P205" s="16">
        <v>1</v>
      </c>
      <c r="Q205" s="16">
        <v>4</v>
      </c>
      <c r="R205" s="16">
        <v>10</v>
      </c>
    </row>
    <row r="206" spans="1:18" x14ac:dyDescent="0.25">
      <c r="A206" s="71">
        <v>42249</v>
      </c>
      <c r="B206" s="20"/>
      <c r="C206" s="15" t="s">
        <v>105</v>
      </c>
      <c r="D206" s="16">
        <v>2</v>
      </c>
      <c r="E206" s="16">
        <v>7</v>
      </c>
      <c r="F206" s="100">
        <f t="shared" si="45"/>
        <v>0.2857142857142857</v>
      </c>
      <c r="G206" s="16">
        <v>0</v>
      </c>
      <c r="H206" s="16">
        <v>2</v>
      </c>
      <c r="I206" s="100">
        <f t="shared" si="46"/>
        <v>0</v>
      </c>
      <c r="J206" s="16">
        <v>3</v>
      </c>
      <c r="K206" s="16">
        <v>4</v>
      </c>
      <c r="L206" s="100">
        <f t="shared" si="47"/>
        <v>0.75</v>
      </c>
      <c r="M206" s="16">
        <v>4</v>
      </c>
      <c r="N206" s="16">
        <v>3</v>
      </c>
      <c r="O206" s="16">
        <v>0</v>
      </c>
      <c r="P206" s="16">
        <v>2</v>
      </c>
      <c r="Q206" s="16">
        <v>0</v>
      </c>
      <c r="R206" s="16">
        <v>7</v>
      </c>
    </row>
    <row r="207" spans="1:18" x14ac:dyDescent="0.25">
      <c r="A207" s="71">
        <v>42249</v>
      </c>
      <c r="B207" s="20"/>
      <c r="C207" s="15" t="s">
        <v>64</v>
      </c>
      <c r="D207" s="16">
        <v>2</v>
      </c>
      <c r="E207" s="16">
        <v>8</v>
      </c>
      <c r="F207" s="100">
        <f t="shared" si="45"/>
        <v>0.25</v>
      </c>
      <c r="G207" s="16">
        <v>1</v>
      </c>
      <c r="H207" s="16">
        <v>4</v>
      </c>
      <c r="I207" s="100">
        <f t="shared" si="46"/>
        <v>0.25</v>
      </c>
      <c r="J207" s="16">
        <v>3</v>
      </c>
      <c r="K207" s="16">
        <v>4</v>
      </c>
      <c r="L207" s="100">
        <f t="shared" si="47"/>
        <v>0.75</v>
      </c>
      <c r="M207" s="16">
        <v>1</v>
      </c>
      <c r="N207" s="16">
        <v>2</v>
      </c>
      <c r="O207" s="16">
        <v>0</v>
      </c>
      <c r="P207" s="16">
        <v>2</v>
      </c>
      <c r="Q207" s="16">
        <v>0</v>
      </c>
      <c r="R207" s="16">
        <v>8</v>
      </c>
    </row>
    <row r="208" spans="1:18" x14ac:dyDescent="0.25">
      <c r="A208" s="71">
        <v>42250</v>
      </c>
      <c r="B208" s="20"/>
      <c r="C208" s="15" t="s">
        <v>64</v>
      </c>
      <c r="D208" s="16">
        <v>5</v>
      </c>
      <c r="E208" s="16">
        <v>19</v>
      </c>
      <c r="F208" s="100">
        <f t="shared" si="45"/>
        <v>0.26315789473684209</v>
      </c>
      <c r="G208" s="16">
        <v>3</v>
      </c>
      <c r="H208" s="16">
        <v>11</v>
      </c>
      <c r="I208" s="100">
        <f t="shared" si="46"/>
        <v>0.27272727272727271</v>
      </c>
      <c r="J208" s="16">
        <v>5</v>
      </c>
      <c r="K208" s="16">
        <v>5</v>
      </c>
      <c r="L208" s="100">
        <f t="shared" si="47"/>
        <v>1</v>
      </c>
      <c r="M208" s="16">
        <v>0</v>
      </c>
      <c r="N208" s="16">
        <v>2</v>
      </c>
      <c r="O208" s="16">
        <v>0</v>
      </c>
      <c r="P208" s="16">
        <v>0</v>
      </c>
      <c r="Q208" s="16">
        <v>0</v>
      </c>
      <c r="R208" s="16">
        <v>18</v>
      </c>
    </row>
    <row r="209" spans="1:18" x14ac:dyDescent="0.25">
      <c r="A209" s="71">
        <v>42250</v>
      </c>
      <c r="B209" s="20"/>
      <c r="C209" s="15" t="s">
        <v>105</v>
      </c>
      <c r="D209" s="16">
        <v>1</v>
      </c>
      <c r="E209" s="16">
        <v>4</v>
      </c>
      <c r="F209" s="100">
        <f t="shared" si="45"/>
        <v>0.25</v>
      </c>
      <c r="G209" s="16">
        <v>1</v>
      </c>
      <c r="H209" s="16">
        <v>1</v>
      </c>
      <c r="I209" s="100">
        <f t="shared" si="46"/>
        <v>1</v>
      </c>
      <c r="J209" s="16">
        <v>0</v>
      </c>
      <c r="K209" s="16">
        <v>0</v>
      </c>
      <c r="L209" s="100">
        <f t="shared" si="47"/>
        <v>0</v>
      </c>
      <c r="M209" s="16">
        <v>2</v>
      </c>
      <c r="N209" s="16">
        <v>11</v>
      </c>
      <c r="O209" s="16">
        <v>2</v>
      </c>
      <c r="P209" s="16">
        <v>2</v>
      </c>
      <c r="Q209" s="16">
        <v>0</v>
      </c>
      <c r="R209" s="16">
        <v>3</v>
      </c>
    </row>
    <row r="210" spans="1:18" x14ac:dyDescent="0.25">
      <c r="A210" s="71">
        <v>42250</v>
      </c>
      <c r="B210" s="20"/>
      <c r="C210" s="15" t="s">
        <v>118</v>
      </c>
      <c r="D210" s="16">
        <v>5</v>
      </c>
      <c r="E210" s="16">
        <v>6</v>
      </c>
      <c r="F210" s="100">
        <f t="shared" si="45"/>
        <v>0.83333333333333337</v>
      </c>
      <c r="G210" s="16">
        <v>0</v>
      </c>
      <c r="H210" s="16">
        <v>0</v>
      </c>
      <c r="I210" s="100">
        <f t="shared" si="46"/>
        <v>0</v>
      </c>
      <c r="J210" s="16">
        <v>14</v>
      </c>
      <c r="K210" s="16">
        <v>15</v>
      </c>
      <c r="L210" s="100">
        <f t="shared" si="47"/>
        <v>0.93333333333333335</v>
      </c>
      <c r="M210" s="16">
        <v>10</v>
      </c>
      <c r="N210" s="16">
        <v>1</v>
      </c>
      <c r="O210" s="16">
        <v>0</v>
      </c>
      <c r="P210" s="16">
        <v>3</v>
      </c>
      <c r="Q210" s="16">
        <v>0</v>
      </c>
      <c r="R210" s="16">
        <v>24</v>
      </c>
    </row>
    <row r="211" spans="1:18" x14ac:dyDescent="0.25">
      <c r="A211" s="71">
        <v>42250</v>
      </c>
      <c r="B211" s="20"/>
      <c r="C211" s="15" t="s">
        <v>162</v>
      </c>
      <c r="D211" s="16">
        <v>2</v>
      </c>
      <c r="E211" s="16">
        <v>6</v>
      </c>
      <c r="F211" s="100">
        <f t="shared" si="45"/>
        <v>0.33333333333333331</v>
      </c>
      <c r="G211" s="16">
        <v>0</v>
      </c>
      <c r="H211" s="16">
        <v>0</v>
      </c>
      <c r="I211" s="100">
        <f t="shared" si="46"/>
        <v>0</v>
      </c>
      <c r="J211" s="16">
        <v>2</v>
      </c>
      <c r="K211" s="16">
        <v>2</v>
      </c>
      <c r="L211" s="100">
        <f t="shared" si="47"/>
        <v>1</v>
      </c>
      <c r="M211" s="16">
        <v>2</v>
      </c>
      <c r="N211" s="16">
        <v>0</v>
      </c>
      <c r="O211" s="16">
        <v>0</v>
      </c>
      <c r="P211" s="16">
        <v>1</v>
      </c>
      <c r="Q211" s="16">
        <v>2</v>
      </c>
      <c r="R211" s="16">
        <v>6</v>
      </c>
    </row>
    <row r="212" spans="1:18" x14ac:dyDescent="0.25">
      <c r="A212" s="71">
        <v>42250</v>
      </c>
      <c r="B212" s="20"/>
      <c r="C212" s="15" t="s">
        <v>67</v>
      </c>
      <c r="D212" s="16">
        <v>2</v>
      </c>
      <c r="E212" s="16">
        <v>6</v>
      </c>
      <c r="F212" s="100">
        <f t="shared" si="45"/>
        <v>0.33333333333333331</v>
      </c>
      <c r="G212" s="16">
        <v>0</v>
      </c>
      <c r="H212" s="16">
        <v>0</v>
      </c>
      <c r="I212" s="100">
        <f t="shared" si="46"/>
        <v>0</v>
      </c>
      <c r="J212" s="16">
        <v>0</v>
      </c>
      <c r="K212" s="16">
        <v>0</v>
      </c>
      <c r="L212" s="100">
        <f t="shared" si="47"/>
        <v>0</v>
      </c>
      <c r="M212" s="16">
        <v>8</v>
      </c>
      <c r="N212" s="16">
        <v>1</v>
      </c>
      <c r="O212" s="16">
        <v>1</v>
      </c>
      <c r="P212" s="16">
        <v>2</v>
      </c>
      <c r="Q212" s="16">
        <v>3</v>
      </c>
      <c r="R212" s="16">
        <v>4</v>
      </c>
    </row>
    <row r="213" spans="1:18" x14ac:dyDescent="0.25">
      <c r="A213" s="71">
        <v>42250</v>
      </c>
      <c r="B213" s="20"/>
      <c r="C213" s="15" t="s">
        <v>66</v>
      </c>
      <c r="D213" s="16">
        <v>0</v>
      </c>
      <c r="E213" s="16">
        <v>3</v>
      </c>
      <c r="F213" s="100">
        <f t="shared" si="45"/>
        <v>0</v>
      </c>
      <c r="G213" s="16">
        <v>0</v>
      </c>
      <c r="H213" s="16">
        <v>0</v>
      </c>
      <c r="I213" s="100">
        <f t="shared" si="46"/>
        <v>0</v>
      </c>
      <c r="J213" s="16">
        <v>0</v>
      </c>
      <c r="K213" s="16">
        <v>0</v>
      </c>
      <c r="L213" s="100">
        <f t="shared" si="47"/>
        <v>0</v>
      </c>
      <c r="M213" s="16">
        <v>4</v>
      </c>
      <c r="N213" s="16">
        <v>0</v>
      </c>
      <c r="O213" s="16">
        <v>0</v>
      </c>
      <c r="P213" s="16">
        <v>1</v>
      </c>
      <c r="Q213" s="16">
        <v>2</v>
      </c>
      <c r="R213" s="16">
        <v>0</v>
      </c>
    </row>
    <row r="214" spans="1:18" x14ac:dyDescent="0.25">
      <c r="A214" s="71">
        <v>42251</v>
      </c>
      <c r="B214" s="20"/>
      <c r="C214" s="15" t="s">
        <v>68</v>
      </c>
      <c r="D214" s="16">
        <v>7</v>
      </c>
      <c r="E214" s="16">
        <v>16</v>
      </c>
      <c r="F214" s="100">
        <f t="shared" si="45"/>
        <v>0.4375</v>
      </c>
      <c r="G214" s="16">
        <v>2</v>
      </c>
      <c r="H214" s="16">
        <v>4</v>
      </c>
      <c r="I214" s="100">
        <f t="shared" si="46"/>
        <v>0.5</v>
      </c>
      <c r="J214" s="16">
        <v>1</v>
      </c>
      <c r="K214" s="16">
        <v>1</v>
      </c>
      <c r="L214" s="100">
        <f t="shared" si="47"/>
        <v>1</v>
      </c>
      <c r="M214" s="16">
        <v>3</v>
      </c>
      <c r="N214" s="16">
        <v>0</v>
      </c>
      <c r="O214" s="16">
        <v>2</v>
      </c>
      <c r="P214" s="16">
        <v>1</v>
      </c>
      <c r="Q214" s="16">
        <v>0</v>
      </c>
      <c r="R214" s="16">
        <v>17</v>
      </c>
    </row>
    <row r="215" spans="1:18" x14ac:dyDescent="0.25">
      <c r="A215" s="71">
        <v>42252</v>
      </c>
      <c r="B215" s="20"/>
      <c r="C215" s="15" t="s">
        <v>68</v>
      </c>
      <c r="D215" s="16">
        <v>2</v>
      </c>
      <c r="E215" s="16">
        <v>8</v>
      </c>
      <c r="F215" s="101">
        <f t="shared" si="45"/>
        <v>0.25</v>
      </c>
      <c r="G215" s="16">
        <v>0</v>
      </c>
      <c r="H215" s="16">
        <v>3</v>
      </c>
      <c r="I215" s="101">
        <f t="shared" si="46"/>
        <v>0</v>
      </c>
      <c r="J215" s="16">
        <v>0</v>
      </c>
      <c r="K215" s="16">
        <v>0</v>
      </c>
      <c r="L215" s="101">
        <f t="shared" si="47"/>
        <v>0</v>
      </c>
      <c r="M215" s="16">
        <v>2</v>
      </c>
      <c r="N215" s="16">
        <v>0</v>
      </c>
      <c r="O215" s="16">
        <v>0</v>
      </c>
      <c r="P215" s="16">
        <v>1</v>
      </c>
      <c r="Q215" s="16">
        <v>0</v>
      </c>
      <c r="R215" s="16">
        <v>4</v>
      </c>
    </row>
    <row r="216" spans="1:18" x14ac:dyDescent="0.25">
      <c r="A216" s="71">
        <v>42253</v>
      </c>
      <c r="B216" s="20"/>
      <c r="C216" s="15" t="s">
        <v>118</v>
      </c>
      <c r="D216" s="16">
        <v>12</v>
      </c>
      <c r="E216" s="16">
        <v>16</v>
      </c>
      <c r="F216" s="101">
        <f t="shared" si="45"/>
        <v>0.75</v>
      </c>
      <c r="G216" s="16">
        <v>0</v>
      </c>
      <c r="H216" s="16">
        <v>0</v>
      </c>
      <c r="I216" s="101">
        <f t="shared" si="46"/>
        <v>0</v>
      </c>
      <c r="J216" s="16">
        <v>2</v>
      </c>
      <c r="K216" s="16">
        <v>3</v>
      </c>
      <c r="L216" s="101">
        <f t="shared" si="47"/>
        <v>0.66666666666666663</v>
      </c>
      <c r="M216" s="16">
        <v>9</v>
      </c>
      <c r="N216" s="16">
        <v>3</v>
      </c>
      <c r="O216" s="16">
        <v>3</v>
      </c>
      <c r="P216" s="16">
        <v>1</v>
      </c>
      <c r="Q216" s="16">
        <v>1</v>
      </c>
      <c r="R216" s="16">
        <v>26</v>
      </c>
    </row>
    <row r="217" spans="1:18" x14ac:dyDescent="0.25">
      <c r="A217" s="71">
        <v>42253</v>
      </c>
      <c r="B217" s="20"/>
      <c r="C217" s="15" t="s">
        <v>162</v>
      </c>
      <c r="D217" s="16">
        <v>1</v>
      </c>
      <c r="E217" s="16">
        <v>3</v>
      </c>
      <c r="F217" s="101">
        <f t="shared" si="45"/>
        <v>0.33333333333333331</v>
      </c>
      <c r="G217" s="16">
        <v>0</v>
      </c>
      <c r="H217" s="16">
        <v>0</v>
      </c>
      <c r="I217" s="101">
        <f t="shared" si="46"/>
        <v>0</v>
      </c>
      <c r="J217" s="16">
        <v>0</v>
      </c>
      <c r="K217" s="16">
        <v>0</v>
      </c>
      <c r="L217" s="101">
        <f t="shared" si="47"/>
        <v>0</v>
      </c>
      <c r="M217" s="16">
        <v>3</v>
      </c>
      <c r="N217" s="16">
        <v>0</v>
      </c>
      <c r="O217" s="16">
        <v>0</v>
      </c>
      <c r="P217" s="16">
        <v>0</v>
      </c>
      <c r="Q217" s="16">
        <v>0</v>
      </c>
      <c r="R217" s="16">
        <v>2</v>
      </c>
    </row>
    <row r="218" spans="1:18" x14ac:dyDescent="0.25">
      <c r="A218" s="71">
        <v>42253</v>
      </c>
      <c r="B218" s="20"/>
      <c r="C218" s="15" t="s">
        <v>105</v>
      </c>
      <c r="D218" s="16">
        <v>1</v>
      </c>
      <c r="E218" s="16">
        <v>2</v>
      </c>
      <c r="F218" s="101">
        <f t="shared" si="45"/>
        <v>0.5</v>
      </c>
      <c r="G218" s="16">
        <v>0</v>
      </c>
      <c r="H218" s="16">
        <v>1</v>
      </c>
      <c r="I218" s="101">
        <f t="shared" si="46"/>
        <v>0</v>
      </c>
      <c r="J218" s="16">
        <v>0</v>
      </c>
      <c r="K218" s="16">
        <v>0</v>
      </c>
      <c r="L218" s="101">
        <f t="shared" si="47"/>
        <v>0</v>
      </c>
      <c r="M218" s="16">
        <v>4</v>
      </c>
      <c r="N218" s="16">
        <v>3</v>
      </c>
      <c r="O218" s="16">
        <v>0</v>
      </c>
      <c r="P218" s="16">
        <v>3</v>
      </c>
      <c r="Q218" s="16">
        <v>0</v>
      </c>
      <c r="R218" s="16">
        <v>2</v>
      </c>
    </row>
    <row r="219" spans="1:18" x14ac:dyDescent="0.25">
      <c r="A219" s="71">
        <v>42253</v>
      </c>
      <c r="B219" s="20"/>
      <c r="C219" s="15" t="s">
        <v>64</v>
      </c>
      <c r="D219" s="16">
        <v>8</v>
      </c>
      <c r="E219" s="16">
        <v>13</v>
      </c>
      <c r="F219" s="101">
        <f t="shared" si="45"/>
        <v>0.61538461538461542</v>
      </c>
      <c r="G219" s="16">
        <v>3</v>
      </c>
      <c r="H219" s="16">
        <v>7</v>
      </c>
      <c r="I219" s="101">
        <f t="shared" si="46"/>
        <v>0.42857142857142855</v>
      </c>
      <c r="J219" s="16">
        <v>3</v>
      </c>
      <c r="K219" s="16">
        <v>3</v>
      </c>
      <c r="L219" s="101">
        <f t="shared" si="47"/>
        <v>1</v>
      </c>
      <c r="M219" s="16">
        <v>2</v>
      </c>
      <c r="N219" s="16">
        <v>5</v>
      </c>
      <c r="O219" s="16">
        <v>1</v>
      </c>
      <c r="P219" s="16">
        <v>1</v>
      </c>
      <c r="Q219" s="16">
        <v>1</v>
      </c>
      <c r="R219" s="16">
        <v>22</v>
      </c>
    </row>
    <row r="220" spans="1:18" x14ac:dyDescent="0.25">
      <c r="A220" s="71">
        <v>42253</v>
      </c>
      <c r="B220" s="20"/>
      <c r="C220" s="15" t="s">
        <v>67</v>
      </c>
      <c r="D220" s="16">
        <v>2</v>
      </c>
      <c r="E220" s="16">
        <v>6</v>
      </c>
      <c r="F220" s="101">
        <f t="shared" si="45"/>
        <v>0.33333333333333331</v>
      </c>
      <c r="G220" s="16">
        <v>0</v>
      </c>
      <c r="H220" s="16">
        <v>0</v>
      </c>
      <c r="I220" s="101">
        <f t="shared" si="46"/>
        <v>0</v>
      </c>
      <c r="J220" s="16">
        <v>1</v>
      </c>
      <c r="K220" s="16">
        <v>2</v>
      </c>
      <c r="L220" s="101">
        <f t="shared" si="47"/>
        <v>0.5</v>
      </c>
      <c r="M220" s="16">
        <v>6</v>
      </c>
      <c r="N220" s="16">
        <v>1</v>
      </c>
      <c r="O220" s="16">
        <v>1</v>
      </c>
      <c r="P220" s="16">
        <v>1</v>
      </c>
      <c r="Q220" s="16">
        <v>1</v>
      </c>
      <c r="R220" s="16">
        <v>5</v>
      </c>
    </row>
    <row r="221" spans="1:18" x14ac:dyDescent="0.25">
      <c r="A221" s="71">
        <v>42253</v>
      </c>
      <c r="B221" s="20"/>
      <c r="C221" s="15" t="s">
        <v>66</v>
      </c>
      <c r="D221" s="16">
        <v>2</v>
      </c>
      <c r="E221" s="16">
        <v>3</v>
      </c>
      <c r="F221" s="101">
        <f t="shared" si="45"/>
        <v>0.66666666666666663</v>
      </c>
      <c r="G221" s="16">
        <v>0</v>
      </c>
      <c r="H221" s="16">
        <v>0</v>
      </c>
      <c r="I221" s="101">
        <f t="shared" si="46"/>
        <v>0</v>
      </c>
      <c r="J221" s="16">
        <v>0</v>
      </c>
      <c r="K221" s="16">
        <v>0</v>
      </c>
      <c r="L221" s="101">
        <f t="shared" si="47"/>
        <v>0</v>
      </c>
      <c r="M221" s="16">
        <v>4</v>
      </c>
      <c r="N221" s="16">
        <v>1</v>
      </c>
      <c r="O221" s="16">
        <v>2</v>
      </c>
      <c r="P221" s="16">
        <v>0</v>
      </c>
      <c r="Q221" s="16">
        <v>1</v>
      </c>
      <c r="R221" s="16">
        <v>4</v>
      </c>
    </row>
    <row r="222" spans="1:18" x14ac:dyDescent="0.25">
      <c r="A222" s="21">
        <v>42255</v>
      </c>
      <c r="B222" s="20"/>
      <c r="C222" s="15" t="s">
        <v>105</v>
      </c>
      <c r="D222" s="16">
        <v>0</v>
      </c>
      <c r="E222" s="16">
        <v>2</v>
      </c>
      <c r="F222" s="109">
        <f t="shared" ref="F222:F236" si="48">IF(E222=0,0,D222/E222)</f>
        <v>0</v>
      </c>
      <c r="G222" s="16">
        <v>0</v>
      </c>
      <c r="H222" s="16">
        <v>0</v>
      </c>
      <c r="I222" s="109">
        <f t="shared" ref="I222:I236" si="49">IF(H222=0,0,G222/H222)</f>
        <v>0</v>
      </c>
      <c r="J222" s="16">
        <v>0</v>
      </c>
      <c r="K222" s="16">
        <v>0</v>
      </c>
      <c r="L222" s="109">
        <f t="shared" ref="L222:L236" si="50">IF(K222=0,0,J222/K222)</f>
        <v>0</v>
      </c>
      <c r="M222" s="16">
        <v>1</v>
      </c>
      <c r="N222" s="16">
        <v>0</v>
      </c>
      <c r="O222" s="16">
        <v>0</v>
      </c>
      <c r="P222" s="16">
        <v>2</v>
      </c>
      <c r="Q222" s="16">
        <v>0</v>
      </c>
      <c r="R222" s="16">
        <v>0</v>
      </c>
    </row>
    <row r="223" spans="1:18" x14ac:dyDescent="0.25">
      <c r="A223" s="21">
        <v>42255</v>
      </c>
      <c r="B223" s="20"/>
      <c r="C223" s="15" t="s">
        <v>64</v>
      </c>
      <c r="D223" s="16">
        <v>7</v>
      </c>
      <c r="E223" s="16">
        <v>15</v>
      </c>
      <c r="F223" s="109">
        <f t="shared" si="48"/>
        <v>0.46666666666666667</v>
      </c>
      <c r="G223" s="16">
        <v>2</v>
      </c>
      <c r="H223" s="16">
        <v>7</v>
      </c>
      <c r="I223" s="109">
        <f t="shared" si="49"/>
        <v>0.2857142857142857</v>
      </c>
      <c r="J223" s="16">
        <v>9</v>
      </c>
      <c r="K223" s="16">
        <v>10</v>
      </c>
      <c r="L223" s="109">
        <f t="shared" si="50"/>
        <v>0.9</v>
      </c>
      <c r="M223" s="16">
        <v>2</v>
      </c>
      <c r="N223" s="16">
        <v>3</v>
      </c>
      <c r="O223" s="16">
        <v>1</v>
      </c>
      <c r="P223" s="16">
        <v>5</v>
      </c>
      <c r="Q223" s="16">
        <v>0</v>
      </c>
      <c r="R223" s="16">
        <v>25</v>
      </c>
    </row>
    <row r="224" spans="1:18" x14ac:dyDescent="0.25">
      <c r="A224" s="21">
        <v>42255</v>
      </c>
      <c r="B224" s="20"/>
      <c r="C224" s="15" t="s">
        <v>162</v>
      </c>
      <c r="D224" s="16">
        <v>1</v>
      </c>
      <c r="E224" s="16">
        <v>3</v>
      </c>
      <c r="F224" s="109">
        <f t="shared" si="48"/>
        <v>0.33333333333333331</v>
      </c>
      <c r="G224" s="16">
        <v>0</v>
      </c>
      <c r="H224" s="16">
        <v>0</v>
      </c>
      <c r="I224" s="109">
        <f t="shared" si="49"/>
        <v>0</v>
      </c>
      <c r="J224" s="16">
        <v>0</v>
      </c>
      <c r="K224" s="16">
        <v>0</v>
      </c>
      <c r="L224" s="109">
        <f t="shared" si="50"/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2</v>
      </c>
    </row>
    <row r="225" spans="1:18" x14ac:dyDescent="0.25">
      <c r="A225" s="21">
        <v>42256</v>
      </c>
      <c r="B225" s="20"/>
      <c r="C225" s="15" t="s">
        <v>66</v>
      </c>
      <c r="D225" s="16">
        <v>3</v>
      </c>
      <c r="E225" s="16">
        <v>8</v>
      </c>
      <c r="F225" s="109">
        <f t="shared" si="48"/>
        <v>0.375</v>
      </c>
      <c r="G225" s="16">
        <v>0</v>
      </c>
      <c r="H225" s="16">
        <v>0</v>
      </c>
      <c r="I225" s="109">
        <f t="shared" si="49"/>
        <v>0</v>
      </c>
      <c r="J225" s="16">
        <v>0</v>
      </c>
      <c r="K225" s="16">
        <v>0</v>
      </c>
      <c r="L225" s="109">
        <f t="shared" si="50"/>
        <v>0</v>
      </c>
      <c r="M225" s="16">
        <v>7</v>
      </c>
      <c r="N225" s="16">
        <v>2</v>
      </c>
      <c r="O225" s="16">
        <v>0</v>
      </c>
      <c r="P225" s="16">
        <v>1</v>
      </c>
      <c r="Q225" s="16">
        <v>1</v>
      </c>
      <c r="R225" s="16">
        <v>6</v>
      </c>
    </row>
    <row r="226" spans="1:18" x14ac:dyDescent="0.25">
      <c r="A226" s="21">
        <v>42258</v>
      </c>
      <c r="B226" s="20"/>
      <c r="C226" s="15" t="s">
        <v>64</v>
      </c>
      <c r="D226" s="16">
        <v>1</v>
      </c>
      <c r="E226" s="16">
        <v>2</v>
      </c>
      <c r="F226" s="121">
        <f t="shared" si="48"/>
        <v>0.5</v>
      </c>
      <c r="G226" s="16">
        <v>1</v>
      </c>
      <c r="H226" s="16">
        <v>1</v>
      </c>
      <c r="I226" s="121">
        <f t="shared" si="49"/>
        <v>1</v>
      </c>
      <c r="J226" s="16">
        <v>0</v>
      </c>
      <c r="K226" s="16">
        <v>0</v>
      </c>
      <c r="L226" s="121">
        <f t="shared" si="50"/>
        <v>0</v>
      </c>
      <c r="M226" s="16">
        <v>1</v>
      </c>
      <c r="N226" s="16">
        <v>3</v>
      </c>
      <c r="O226" s="16">
        <v>0</v>
      </c>
      <c r="P226" s="16">
        <v>2</v>
      </c>
      <c r="Q226" s="16">
        <v>0</v>
      </c>
      <c r="R226" s="16">
        <v>3</v>
      </c>
    </row>
    <row r="227" spans="1:18" x14ac:dyDescent="0.25">
      <c r="A227" s="21">
        <v>42258</v>
      </c>
      <c r="B227" s="20"/>
      <c r="C227" s="15" t="s">
        <v>66</v>
      </c>
      <c r="D227" s="16">
        <v>0</v>
      </c>
      <c r="E227" s="16">
        <v>3</v>
      </c>
      <c r="F227" s="121">
        <f t="shared" si="48"/>
        <v>0</v>
      </c>
      <c r="G227" s="16">
        <v>0</v>
      </c>
      <c r="H227" s="16">
        <v>0</v>
      </c>
      <c r="I227" s="121">
        <f t="shared" si="49"/>
        <v>0</v>
      </c>
      <c r="J227" s="16">
        <v>0</v>
      </c>
      <c r="K227" s="16">
        <v>0</v>
      </c>
      <c r="L227" s="121">
        <f t="shared" si="50"/>
        <v>0</v>
      </c>
      <c r="M227" s="16">
        <v>3</v>
      </c>
      <c r="N227" s="16">
        <v>1</v>
      </c>
      <c r="O227" s="16">
        <v>2</v>
      </c>
      <c r="P227" s="16">
        <v>0</v>
      </c>
      <c r="Q227" s="16">
        <v>0</v>
      </c>
      <c r="R227" s="16">
        <v>0</v>
      </c>
    </row>
    <row r="228" spans="1:18" x14ac:dyDescent="0.25">
      <c r="A228" s="21">
        <v>42258</v>
      </c>
      <c r="B228" s="20"/>
      <c r="C228" s="15" t="s">
        <v>105</v>
      </c>
      <c r="D228" s="16">
        <v>2</v>
      </c>
      <c r="E228" s="16">
        <v>3</v>
      </c>
      <c r="F228" s="121">
        <f t="shared" si="48"/>
        <v>0.66666666666666663</v>
      </c>
      <c r="G228" s="16">
        <v>0</v>
      </c>
      <c r="H228" s="16">
        <v>0</v>
      </c>
      <c r="I228" s="121">
        <f t="shared" si="49"/>
        <v>0</v>
      </c>
      <c r="J228" s="16">
        <v>1</v>
      </c>
      <c r="K228" s="16">
        <v>1</v>
      </c>
      <c r="L228" s="121">
        <f t="shared" si="50"/>
        <v>1</v>
      </c>
      <c r="M228" s="16">
        <v>2</v>
      </c>
      <c r="N228" s="16">
        <v>6</v>
      </c>
      <c r="O228" s="16">
        <v>3</v>
      </c>
      <c r="P228" s="16">
        <v>1</v>
      </c>
      <c r="Q228" s="16">
        <v>0</v>
      </c>
      <c r="R228" s="16">
        <v>5</v>
      </c>
    </row>
    <row r="229" spans="1:18" x14ac:dyDescent="0.25">
      <c r="A229" s="21">
        <v>42258</v>
      </c>
      <c r="B229" s="20"/>
      <c r="C229" s="15" t="s">
        <v>67</v>
      </c>
      <c r="D229" s="16">
        <v>5</v>
      </c>
      <c r="E229" s="16">
        <v>10</v>
      </c>
      <c r="F229" s="121">
        <f t="shared" si="48"/>
        <v>0.5</v>
      </c>
      <c r="G229" s="16">
        <v>0</v>
      </c>
      <c r="H229" s="16">
        <v>0</v>
      </c>
      <c r="I229" s="121">
        <f t="shared" si="49"/>
        <v>0</v>
      </c>
      <c r="J229" s="16">
        <v>4</v>
      </c>
      <c r="K229" s="16">
        <v>4</v>
      </c>
      <c r="L229" s="121">
        <f t="shared" si="50"/>
        <v>1</v>
      </c>
      <c r="M229" s="16">
        <v>4</v>
      </c>
      <c r="N229" s="16">
        <v>2</v>
      </c>
      <c r="O229" s="16">
        <v>2</v>
      </c>
      <c r="P229" s="16">
        <v>0</v>
      </c>
      <c r="Q229" s="16">
        <v>1</v>
      </c>
      <c r="R229" s="16">
        <v>14</v>
      </c>
    </row>
    <row r="230" spans="1:18" x14ac:dyDescent="0.25">
      <c r="A230" s="21">
        <v>42258</v>
      </c>
      <c r="B230" s="20"/>
      <c r="C230" s="15" t="s">
        <v>118</v>
      </c>
      <c r="D230" s="16">
        <v>3</v>
      </c>
      <c r="E230" s="16">
        <v>6</v>
      </c>
      <c r="F230" s="121">
        <f t="shared" si="48"/>
        <v>0.5</v>
      </c>
      <c r="G230" s="16">
        <v>0</v>
      </c>
      <c r="H230" s="16">
        <v>2</v>
      </c>
      <c r="I230" s="121">
        <f t="shared" si="49"/>
        <v>0</v>
      </c>
      <c r="J230" s="16">
        <v>2</v>
      </c>
      <c r="K230" s="16">
        <v>2</v>
      </c>
      <c r="L230" s="121">
        <f t="shared" si="50"/>
        <v>1</v>
      </c>
      <c r="M230" s="16">
        <v>1</v>
      </c>
      <c r="N230" s="16">
        <v>2</v>
      </c>
      <c r="O230" s="16">
        <v>1</v>
      </c>
      <c r="P230" s="16">
        <v>0</v>
      </c>
      <c r="Q230" s="16">
        <v>0</v>
      </c>
      <c r="R230" s="16">
        <v>8</v>
      </c>
    </row>
    <row r="231" spans="1:18" x14ac:dyDescent="0.25">
      <c r="A231" s="21">
        <v>42258</v>
      </c>
      <c r="B231" s="20"/>
      <c r="C231" s="15" t="s">
        <v>88</v>
      </c>
      <c r="D231" s="16">
        <v>1</v>
      </c>
      <c r="E231" s="16">
        <v>4</v>
      </c>
      <c r="F231" s="121">
        <f t="shared" si="48"/>
        <v>0.25</v>
      </c>
      <c r="G231" s="16">
        <v>0</v>
      </c>
      <c r="H231" s="16">
        <v>0</v>
      </c>
      <c r="I231" s="121">
        <f t="shared" si="49"/>
        <v>0</v>
      </c>
      <c r="J231" s="16">
        <v>2</v>
      </c>
      <c r="K231" s="16">
        <v>2</v>
      </c>
      <c r="L231" s="121">
        <f t="shared" si="50"/>
        <v>1</v>
      </c>
      <c r="M231" s="16">
        <v>5</v>
      </c>
      <c r="N231" s="16">
        <v>2</v>
      </c>
      <c r="O231" s="16">
        <v>0</v>
      </c>
      <c r="P231" s="16">
        <v>1</v>
      </c>
      <c r="Q231" s="16">
        <v>1</v>
      </c>
      <c r="R231" s="16">
        <v>4</v>
      </c>
    </row>
    <row r="232" spans="1:18" x14ac:dyDescent="0.25">
      <c r="A232" s="73">
        <v>42260</v>
      </c>
      <c r="B232" s="20"/>
      <c r="C232" s="15" t="s">
        <v>67</v>
      </c>
      <c r="D232" s="16">
        <v>2</v>
      </c>
      <c r="E232" s="16">
        <v>5</v>
      </c>
      <c r="F232" s="121">
        <f t="shared" si="48"/>
        <v>0.4</v>
      </c>
      <c r="G232" s="16">
        <v>0</v>
      </c>
      <c r="H232" s="16">
        <v>0</v>
      </c>
      <c r="I232" s="121">
        <f t="shared" si="49"/>
        <v>0</v>
      </c>
      <c r="J232" s="16">
        <v>0</v>
      </c>
      <c r="K232" s="16">
        <v>0</v>
      </c>
      <c r="L232" s="121">
        <f t="shared" si="50"/>
        <v>0</v>
      </c>
      <c r="M232" s="16">
        <v>4</v>
      </c>
      <c r="N232" s="16">
        <v>2</v>
      </c>
      <c r="O232" s="16">
        <v>0</v>
      </c>
      <c r="P232" s="16">
        <v>1</v>
      </c>
      <c r="Q232" s="16">
        <v>1</v>
      </c>
      <c r="R232" s="16">
        <v>4</v>
      </c>
    </row>
    <row r="233" spans="1:18" x14ac:dyDescent="0.25">
      <c r="A233" s="73">
        <v>42260</v>
      </c>
      <c r="B233" s="20"/>
      <c r="C233" s="15" t="s">
        <v>64</v>
      </c>
      <c r="D233" s="16">
        <v>5</v>
      </c>
      <c r="E233" s="16">
        <v>13</v>
      </c>
      <c r="F233" s="121">
        <f t="shared" si="48"/>
        <v>0.38461538461538464</v>
      </c>
      <c r="G233" s="16">
        <v>2</v>
      </c>
      <c r="H233" s="16">
        <v>5</v>
      </c>
      <c r="I233" s="121">
        <f t="shared" si="49"/>
        <v>0.4</v>
      </c>
      <c r="J233" s="16">
        <v>2</v>
      </c>
      <c r="K233" s="16">
        <v>2</v>
      </c>
      <c r="L233" s="121">
        <f t="shared" si="50"/>
        <v>1</v>
      </c>
      <c r="M233" s="16">
        <v>1</v>
      </c>
      <c r="N233" s="16">
        <v>2</v>
      </c>
      <c r="O233" s="16">
        <v>0</v>
      </c>
      <c r="P233" s="16">
        <v>3</v>
      </c>
      <c r="Q233" s="16">
        <v>0</v>
      </c>
      <c r="R233" s="16">
        <v>14</v>
      </c>
    </row>
    <row r="234" spans="1:18" x14ac:dyDescent="0.25">
      <c r="A234" s="73">
        <v>42260</v>
      </c>
      <c r="B234" s="20"/>
      <c r="C234" s="15" t="s">
        <v>105</v>
      </c>
      <c r="D234" s="16">
        <v>1</v>
      </c>
      <c r="E234" s="16">
        <v>5</v>
      </c>
      <c r="F234" s="121">
        <f t="shared" si="48"/>
        <v>0.2</v>
      </c>
      <c r="G234" s="16">
        <v>0</v>
      </c>
      <c r="H234" s="16">
        <v>1</v>
      </c>
      <c r="I234" s="121">
        <f t="shared" si="49"/>
        <v>0</v>
      </c>
      <c r="J234" s="16">
        <v>0</v>
      </c>
      <c r="K234" s="16">
        <v>0</v>
      </c>
      <c r="L234" s="121">
        <f t="shared" si="50"/>
        <v>0</v>
      </c>
      <c r="M234" s="16">
        <v>2</v>
      </c>
      <c r="N234" s="16">
        <v>4</v>
      </c>
      <c r="O234" s="16">
        <v>0</v>
      </c>
      <c r="P234" s="16">
        <v>2</v>
      </c>
      <c r="Q234" s="16">
        <v>0</v>
      </c>
      <c r="R234" s="16">
        <v>2</v>
      </c>
    </row>
    <row r="235" spans="1:18" x14ac:dyDescent="0.25">
      <c r="A235" s="73">
        <v>42260</v>
      </c>
      <c r="B235" s="20"/>
      <c r="C235" s="15" t="s">
        <v>66</v>
      </c>
      <c r="D235" s="16">
        <v>2</v>
      </c>
      <c r="E235" s="16">
        <v>4</v>
      </c>
      <c r="F235" s="121">
        <f t="shared" si="48"/>
        <v>0.5</v>
      </c>
      <c r="G235" s="16">
        <v>0</v>
      </c>
      <c r="H235" s="16">
        <v>1</v>
      </c>
      <c r="I235" s="121">
        <f t="shared" si="49"/>
        <v>0</v>
      </c>
      <c r="J235" s="16">
        <v>0</v>
      </c>
      <c r="K235" s="16">
        <v>0</v>
      </c>
      <c r="L235" s="121">
        <f t="shared" si="50"/>
        <v>0</v>
      </c>
      <c r="M235" s="16">
        <v>3</v>
      </c>
      <c r="N235" s="16">
        <v>0</v>
      </c>
      <c r="O235" s="16">
        <v>0</v>
      </c>
      <c r="P235" s="16">
        <v>2</v>
      </c>
      <c r="Q235" s="16">
        <v>0</v>
      </c>
      <c r="R235" s="16">
        <v>4</v>
      </c>
    </row>
    <row r="236" spans="1:18" x14ac:dyDescent="0.25">
      <c r="A236" s="73">
        <v>42260</v>
      </c>
      <c r="B236" s="20"/>
      <c r="C236" s="15" t="s">
        <v>88</v>
      </c>
      <c r="D236" s="16">
        <v>3</v>
      </c>
      <c r="E236" s="16">
        <v>12</v>
      </c>
      <c r="F236" s="121">
        <f t="shared" si="48"/>
        <v>0.25</v>
      </c>
      <c r="G236" s="16">
        <v>0</v>
      </c>
      <c r="H236" s="16">
        <v>1</v>
      </c>
      <c r="I236" s="121">
        <f t="shared" si="49"/>
        <v>0</v>
      </c>
      <c r="J236" s="16">
        <v>3</v>
      </c>
      <c r="K236" s="16">
        <v>3</v>
      </c>
      <c r="L236" s="121">
        <f t="shared" si="50"/>
        <v>1</v>
      </c>
      <c r="M236" s="16">
        <v>6</v>
      </c>
      <c r="N236" s="16">
        <v>1</v>
      </c>
      <c r="O236" s="16">
        <v>0</v>
      </c>
      <c r="P236" s="16">
        <v>2</v>
      </c>
      <c r="Q236" s="16">
        <v>0</v>
      </c>
      <c r="R236" s="16">
        <v>9</v>
      </c>
    </row>
    <row r="237" spans="1:18" x14ac:dyDescent="0.25">
      <c r="A237" s="39"/>
      <c r="B237" s="39"/>
      <c r="C237" s="6"/>
      <c r="D237" s="6"/>
      <c r="E237" s="6"/>
      <c r="F237" s="7"/>
      <c r="G237" s="6"/>
      <c r="H237" s="6"/>
      <c r="I237" s="7"/>
      <c r="J237" s="6"/>
      <c r="K237" s="6"/>
      <c r="L237" s="7"/>
      <c r="M237" s="6"/>
      <c r="N237" s="6"/>
      <c r="O237" s="6"/>
      <c r="P237" s="6"/>
      <c r="Q237" s="6"/>
      <c r="R237" s="9"/>
    </row>
    <row r="238" spans="1:18" x14ac:dyDescent="0.25">
      <c r="A238" s="6" t="s">
        <v>17</v>
      </c>
      <c r="C238" s="6"/>
      <c r="D238" s="6">
        <f>SUBTOTAL(109,BlackTigersStats[FGM])</f>
        <v>870</v>
      </c>
      <c r="E238" s="6">
        <f>SUBTOTAL(109,BlackTigersStats[FGA])</f>
        <v>2005</v>
      </c>
      <c r="F238" s="7">
        <f>BlackTigersStats[[#Totals],[FGM]]/BlackTigersStats[[#Totals],[FGA]]</f>
        <v>0.43391521197007482</v>
      </c>
      <c r="G238" s="6">
        <f>SUBTOTAL(109,BlackTigersStats[3-PT FGM])</f>
        <v>172</v>
      </c>
      <c r="H238" s="6">
        <f>SUBTOTAL(109,BlackTigersStats[3-PT FGA])</f>
        <v>500</v>
      </c>
      <c r="I238" s="7">
        <f>BlackTigersStats[[#Totals],[3-PT FGM]]/BlackTigersStats[[#Totals],[3-PT FGA]]</f>
        <v>0.34399999999999997</v>
      </c>
      <c r="J238" s="6">
        <f>SUBTOTAL(109,BlackTigersStats[FTM])</f>
        <v>388</v>
      </c>
      <c r="K238" s="6">
        <f>SUBTOTAL(109,BlackTigersStats[FTA])</f>
        <v>468</v>
      </c>
      <c r="L238" s="7">
        <f>BlackTigersStats[[#Totals],[FTM]]/BlackTigersStats[[#Totals],[FTA]]</f>
        <v>0.82905982905982911</v>
      </c>
      <c r="M238" s="6">
        <f>SUBTOTAL(109,BlackTigersStats[REB])</f>
        <v>927</v>
      </c>
      <c r="N238" s="6">
        <f>SUBTOTAL(109,BlackTigersStats[AST])</f>
        <v>409</v>
      </c>
      <c r="O238" s="6">
        <f>SUBTOTAL(109,BlackTigersStats[STL])</f>
        <v>197</v>
      </c>
      <c r="P238" s="6">
        <f>SUBTOTAL(109,BlackTigersStats[TO])</f>
        <v>317</v>
      </c>
      <c r="Q238" s="6">
        <f>SUBTOTAL(109,BlackTigersStats[BLK])</f>
        <v>153</v>
      </c>
      <c r="R238" s="6">
        <f>SUBTOTAL(109,BlackTigersStats[PTS])</f>
        <v>2300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2"/>
  <sheetViews>
    <sheetView showGridLines="0" topLeftCell="A210" workbookViewId="0">
      <selection sqref="A1:R232"/>
    </sheetView>
  </sheetViews>
  <sheetFormatPr defaultRowHeight="15" x14ac:dyDescent="0.25"/>
  <cols>
    <col min="1" max="1" width="7.42578125" bestFit="1" customWidth="1"/>
    <col min="2" max="2" width="1.42578125" style="6" bestFit="1" customWidth="1"/>
    <col min="3" max="3" width="19" bestFit="1" customWidth="1"/>
    <col min="4" max="4" width="5.28515625" bestFit="1" customWidth="1"/>
    <col min="5" max="5" width="4.7109375" bestFit="1" customWidth="1"/>
    <col min="6" max="6" width="5.5703125" style="7" bestFit="1" customWidth="1"/>
    <col min="7" max="7" width="5.42578125" customWidth="1"/>
    <col min="8" max="8" width="4.85546875" customWidth="1"/>
    <col min="9" max="9" width="6.42578125" style="1" bestFit="1" customWidth="1"/>
    <col min="10" max="10" width="4.85546875" bestFit="1" customWidth="1"/>
    <col min="11" max="11" width="4.28515625" bestFit="1" customWidth="1"/>
    <col min="12" max="12" width="5.5703125" style="1" bestFit="1" customWidth="1"/>
    <col min="13" max="14" width="4.28515625" bestFit="1" customWidth="1"/>
    <col min="15" max="15" width="3.85546875" bestFit="1" customWidth="1"/>
    <col min="16" max="16" width="4" bestFit="1" customWidth="1"/>
    <col min="17" max="17" width="4.140625" bestFit="1" customWidth="1"/>
    <col min="18" max="18" width="5" bestFit="1" customWidth="1"/>
    <col min="20" max="20" width="6" customWidth="1"/>
  </cols>
  <sheetData>
    <row r="1" spans="1:18" s="2" customFormat="1" x14ac:dyDescent="0.25">
      <c r="A1" s="3" t="s">
        <v>0</v>
      </c>
      <c r="B1" s="11" t="s">
        <v>19</v>
      </c>
      <c r="C1" s="4" t="s">
        <v>1</v>
      </c>
      <c r="D1" s="3" t="s">
        <v>2</v>
      </c>
      <c r="E1" s="3" t="s">
        <v>3</v>
      </c>
      <c r="F1" s="5" t="s">
        <v>4</v>
      </c>
      <c r="G1" s="3" t="s">
        <v>5</v>
      </c>
      <c r="H1" s="3" t="s">
        <v>6</v>
      </c>
      <c r="I1" s="5" t="s">
        <v>7</v>
      </c>
      <c r="J1" s="3" t="s">
        <v>8</v>
      </c>
      <c r="K1" s="3" t="s">
        <v>9</v>
      </c>
      <c r="L1" s="5" t="s">
        <v>10</v>
      </c>
      <c r="M1" s="3" t="s">
        <v>11</v>
      </c>
      <c r="N1" s="3" t="s">
        <v>12</v>
      </c>
      <c r="O1" s="3" t="s">
        <v>15</v>
      </c>
      <c r="P1" s="3" t="s">
        <v>16</v>
      </c>
      <c r="Q1" s="3" t="s">
        <v>14</v>
      </c>
      <c r="R1" s="13" t="s">
        <v>13</v>
      </c>
    </row>
    <row r="2" spans="1:18" x14ac:dyDescent="0.25">
      <c r="A2" s="14">
        <v>42160</v>
      </c>
      <c r="B2" s="15"/>
      <c r="C2" s="10" t="s">
        <v>58</v>
      </c>
      <c r="D2" s="16">
        <v>4</v>
      </c>
      <c r="E2" s="16">
        <v>10</v>
      </c>
      <c r="F2" s="17">
        <f t="shared" ref="F2:F12" si="0">IF(E2=0,0,D2/E2)</f>
        <v>0.4</v>
      </c>
      <c r="G2" s="16">
        <v>0</v>
      </c>
      <c r="H2" s="16">
        <v>0</v>
      </c>
      <c r="I2" s="17">
        <f t="shared" ref="I2:I12" si="1">IF(H2=0,0,G2/H2)</f>
        <v>0</v>
      </c>
      <c r="J2" s="16">
        <v>0</v>
      </c>
      <c r="K2" s="16">
        <v>0</v>
      </c>
      <c r="L2" s="17">
        <f t="shared" ref="L2:L12" si="2">IF(K2=0,0,J2/K2)</f>
        <v>0</v>
      </c>
      <c r="M2" s="16">
        <v>7</v>
      </c>
      <c r="N2" s="16">
        <v>2</v>
      </c>
      <c r="O2" s="16">
        <v>1</v>
      </c>
      <c r="P2" s="16">
        <v>2</v>
      </c>
      <c r="Q2" s="16">
        <v>3</v>
      </c>
      <c r="R2" s="16">
        <v>8</v>
      </c>
    </row>
    <row r="3" spans="1:18" x14ac:dyDescent="0.25">
      <c r="A3" s="14">
        <v>42160</v>
      </c>
      <c r="B3" s="15"/>
      <c r="C3" s="10" t="s">
        <v>59</v>
      </c>
      <c r="D3" s="16">
        <v>9</v>
      </c>
      <c r="E3" s="16">
        <v>13</v>
      </c>
      <c r="F3" s="17">
        <f t="shared" si="0"/>
        <v>0.69230769230769229</v>
      </c>
      <c r="G3" s="16">
        <v>0</v>
      </c>
      <c r="H3" s="16">
        <v>0</v>
      </c>
      <c r="I3" s="17">
        <f t="shared" si="1"/>
        <v>0</v>
      </c>
      <c r="J3" s="16">
        <v>8</v>
      </c>
      <c r="K3" s="16">
        <v>8</v>
      </c>
      <c r="L3" s="17">
        <f t="shared" si="2"/>
        <v>1</v>
      </c>
      <c r="M3" s="16">
        <v>4</v>
      </c>
      <c r="N3" s="16">
        <v>6</v>
      </c>
      <c r="O3" s="16">
        <v>0</v>
      </c>
      <c r="P3" s="16">
        <v>2</v>
      </c>
      <c r="Q3" s="16">
        <v>1</v>
      </c>
      <c r="R3" s="16">
        <v>26</v>
      </c>
    </row>
    <row r="4" spans="1:18" x14ac:dyDescent="0.25">
      <c r="A4" s="26">
        <v>42160</v>
      </c>
      <c r="B4" s="26"/>
      <c r="C4" s="10" t="s">
        <v>60</v>
      </c>
      <c r="D4" s="44">
        <v>0</v>
      </c>
      <c r="E4" s="23">
        <v>1</v>
      </c>
      <c r="F4" s="24">
        <f t="shared" si="0"/>
        <v>0</v>
      </c>
      <c r="G4" s="23">
        <v>0</v>
      </c>
      <c r="H4" s="23">
        <v>0</v>
      </c>
      <c r="I4" s="24">
        <f t="shared" si="1"/>
        <v>0</v>
      </c>
      <c r="J4" s="23">
        <v>0</v>
      </c>
      <c r="K4" s="23">
        <v>0</v>
      </c>
      <c r="L4" s="17">
        <f t="shared" si="2"/>
        <v>0</v>
      </c>
      <c r="M4" s="23">
        <v>4</v>
      </c>
      <c r="N4" s="23">
        <v>2</v>
      </c>
      <c r="O4" s="23">
        <v>0</v>
      </c>
      <c r="P4" s="23">
        <v>3</v>
      </c>
      <c r="Q4" s="23">
        <v>1</v>
      </c>
      <c r="R4" s="25">
        <v>0</v>
      </c>
    </row>
    <row r="5" spans="1:18" x14ac:dyDescent="0.25">
      <c r="A5" s="26">
        <v>42160</v>
      </c>
      <c r="B5" s="26"/>
      <c r="C5" s="10" t="s">
        <v>61</v>
      </c>
      <c r="D5" s="44">
        <v>0</v>
      </c>
      <c r="E5" s="23">
        <v>2</v>
      </c>
      <c r="F5" s="24">
        <f t="shared" si="0"/>
        <v>0</v>
      </c>
      <c r="G5" s="23">
        <v>0</v>
      </c>
      <c r="H5" s="23">
        <v>1</v>
      </c>
      <c r="I5" s="24">
        <f t="shared" si="1"/>
        <v>0</v>
      </c>
      <c r="J5" s="23">
        <v>0</v>
      </c>
      <c r="K5" s="23">
        <v>0</v>
      </c>
      <c r="L5" s="17">
        <f t="shared" si="2"/>
        <v>0</v>
      </c>
      <c r="M5" s="23">
        <v>0</v>
      </c>
      <c r="N5" s="23">
        <v>0</v>
      </c>
      <c r="O5" s="23">
        <v>1</v>
      </c>
      <c r="P5" s="23">
        <v>3</v>
      </c>
      <c r="Q5" s="23">
        <v>0</v>
      </c>
      <c r="R5" s="25">
        <v>0</v>
      </c>
    </row>
    <row r="6" spans="1:18" x14ac:dyDescent="0.25">
      <c r="A6" s="26">
        <v>42160</v>
      </c>
      <c r="B6" s="26"/>
      <c r="C6" s="10" t="s">
        <v>62</v>
      </c>
      <c r="D6" s="44">
        <v>0</v>
      </c>
      <c r="E6" s="23">
        <v>2</v>
      </c>
      <c r="F6" s="24">
        <f t="shared" si="0"/>
        <v>0</v>
      </c>
      <c r="G6" s="23">
        <v>0</v>
      </c>
      <c r="H6" s="23">
        <v>1</v>
      </c>
      <c r="I6" s="24">
        <f t="shared" si="1"/>
        <v>0</v>
      </c>
      <c r="J6" s="23">
        <v>0</v>
      </c>
      <c r="K6" s="23">
        <v>0</v>
      </c>
      <c r="L6" s="17">
        <f t="shared" si="2"/>
        <v>0</v>
      </c>
      <c r="M6" s="23">
        <v>2</v>
      </c>
      <c r="N6" s="23">
        <v>0</v>
      </c>
      <c r="O6" s="23">
        <v>0</v>
      </c>
      <c r="P6" s="23">
        <v>1</v>
      </c>
      <c r="Q6" s="23">
        <v>0</v>
      </c>
      <c r="R6" s="25">
        <v>0</v>
      </c>
    </row>
    <row r="7" spans="1:18" x14ac:dyDescent="0.25">
      <c r="A7" s="110">
        <v>42161</v>
      </c>
      <c r="B7" s="110"/>
      <c r="C7" s="15" t="s">
        <v>91</v>
      </c>
      <c r="D7" s="118">
        <v>8</v>
      </c>
      <c r="E7" s="112">
        <v>16</v>
      </c>
      <c r="F7" s="113">
        <f t="shared" si="0"/>
        <v>0.5</v>
      </c>
      <c r="G7" s="112">
        <v>0</v>
      </c>
      <c r="H7" s="112">
        <v>1</v>
      </c>
      <c r="I7" s="113">
        <f t="shared" si="1"/>
        <v>0</v>
      </c>
      <c r="J7" s="112">
        <v>4</v>
      </c>
      <c r="K7" s="112">
        <v>4</v>
      </c>
      <c r="L7" s="18">
        <f t="shared" si="2"/>
        <v>1</v>
      </c>
      <c r="M7" s="112">
        <v>4</v>
      </c>
      <c r="N7" s="112">
        <v>3</v>
      </c>
      <c r="O7" s="112">
        <v>0</v>
      </c>
      <c r="P7" s="112">
        <v>2</v>
      </c>
      <c r="Q7" s="112">
        <v>0</v>
      </c>
      <c r="R7" s="115">
        <v>20</v>
      </c>
    </row>
    <row r="8" spans="1:18" x14ac:dyDescent="0.25">
      <c r="A8" s="110">
        <v>42161</v>
      </c>
      <c r="B8" s="110"/>
      <c r="C8" s="15" t="s">
        <v>92</v>
      </c>
      <c r="D8" s="118">
        <v>9</v>
      </c>
      <c r="E8" s="112">
        <v>12</v>
      </c>
      <c r="F8" s="113">
        <f t="shared" si="0"/>
        <v>0.75</v>
      </c>
      <c r="G8" s="112">
        <v>0</v>
      </c>
      <c r="H8" s="112">
        <v>0</v>
      </c>
      <c r="I8" s="113">
        <f t="shared" si="1"/>
        <v>0</v>
      </c>
      <c r="J8" s="112">
        <v>0</v>
      </c>
      <c r="K8" s="112">
        <v>4</v>
      </c>
      <c r="L8" s="18">
        <f t="shared" si="2"/>
        <v>0</v>
      </c>
      <c r="M8" s="112">
        <v>9</v>
      </c>
      <c r="N8" s="112">
        <v>0</v>
      </c>
      <c r="O8" s="112">
        <v>1</v>
      </c>
      <c r="P8" s="112">
        <v>0</v>
      </c>
      <c r="Q8" s="112">
        <v>0</v>
      </c>
      <c r="R8" s="115">
        <v>18</v>
      </c>
    </row>
    <row r="9" spans="1:18" x14ac:dyDescent="0.25">
      <c r="A9" s="110">
        <v>42161</v>
      </c>
      <c r="B9" s="110"/>
      <c r="C9" s="15" t="s">
        <v>59</v>
      </c>
      <c r="D9" s="118">
        <v>3</v>
      </c>
      <c r="E9" s="112">
        <v>12</v>
      </c>
      <c r="F9" s="113">
        <f t="shared" si="0"/>
        <v>0.25</v>
      </c>
      <c r="G9" s="112">
        <v>0</v>
      </c>
      <c r="H9" s="112">
        <v>0</v>
      </c>
      <c r="I9" s="113">
        <f t="shared" si="1"/>
        <v>0</v>
      </c>
      <c r="J9" s="112">
        <v>11</v>
      </c>
      <c r="K9" s="112">
        <v>11</v>
      </c>
      <c r="L9" s="18">
        <f t="shared" si="2"/>
        <v>1</v>
      </c>
      <c r="M9" s="112">
        <v>4</v>
      </c>
      <c r="N9" s="112">
        <v>5</v>
      </c>
      <c r="O9" s="112">
        <v>1</v>
      </c>
      <c r="P9" s="112">
        <v>6</v>
      </c>
      <c r="Q9" s="112">
        <v>0</v>
      </c>
      <c r="R9" s="115">
        <v>17</v>
      </c>
    </row>
    <row r="10" spans="1:18" x14ac:dyDescent="0.25">
      <c r="A10" s="110">
        <v>42161</v>
      </c>
      <c r="B10" s="110"/>
      <c r="C10" s="15" t="s">
        <v>99</v>
      </c>
      <c r="D10" s="118">
        <v>2</v>
      </c>
      <c r="E10" s="112">
        <v>6</v>
      </c>
      <c r="F10" s="113">
        <f t="shared" si="0"/>
        <v>0.33333333333333331</v>
      </c>
      <c r="G10" s="112">
        <v>0</v>
      </c>
      <c r="H10" s="112">
        <v>4</v>
      </c>
      <c r="I10" s="113">
        <f t="shared" si="1"/>
        <v>0</v>
      </c>
      <c r="J10" s="112">
        <v>4</v>
      </c>
      <c r="K10" s="112">
        <v>5</v>
      </c>
      <c r="L10" s="18">
        <f t="shared" si="2"/>
        <v>0.8</v>
      </c>
      <c r="M10" s="112">
        <v>5</v>
      </c>
      <c r="N10" s="112">
        <v>4</v>
      </c>
      <c r="O10" s="112">
        <v>1</v>
      </c>
      <c r="P10" s="112">
        <v>1</v>
      </c>
      <c r="Q10" s="112">
        <v>0</v>
      </c>
      <c r="R10" s="115">
        <v>8</v>
      </c>
    </row>
    <row r="11" spans="1:18" x14ac:dyDescent="0.25">
      <c r="A11" s="110">
        <v>42161</v>
      </c>
      <c r="B11" s="110"/>
      <c r="C11" s="15" t="s">
        <v>58</v>
      </c>
      <c r="D11" s="118">
        <v>6</v>
      </c>
      <c r="E11" s="112">
        <v>13</v>
      </c>
      <c r="F11" s="113">
        <f t="shared" si="0"/>
        <v>0.46153846153846156</v>
      </c>
      <c r="G11" s="112">
        <v>0</v>
      </c>
      <c r="H11" s="112">
        <v>0</v>
      </c>
      <c r="I11" s="113">
        <f t="shared" si="1"/>
        <v>0</v>
      </c>
      <c r="J11" s="112">
        <v>4</v>
      </c>
      <c r="K11" s="112">
        <v>4</v>
      </c>
      <c r="L11" s="18">
        <f t="shared" si="2"/>
        <v>1</v>
      </c>
      <c r="M11" s="112">
        <v>9</v>
      </c>
      <c r="N11" s="112">
        <v>3</v>
      </c>
      <c r="O11" s="112">
        <v>0</v>
      </c>
      <c r="P11" s="112">
        <v>0</v>
      </c>
      <c r="Q11" s="112">
        <v>1</v>
      </c>
      <c r="R11" s="115">
        <v>16</v>
      </c>
    </row>
    <row r="12" spans="1:18" x14ac:dyDescent="0.25">
      <c r="A12" s="26">
        <v>42161</v>
      </c>
      <c r="B12" s="26"/>
      <c r="C12" s="15" t="s">
        <v>60</v>
      </c>
      <c r="D12" s="44">
        <v>4</v>
      </c>
      <c r="E12" s="23">
        <v>5</v>
      </c>
      <c r="F12" s="24">
        <f t="shared" si="0"/>
        <v>0.8</v>
      </c>
      <c r="G12" s="23">
        <v>0</v>
      </c>
      <c r="H12" s="23">
        <v>0</v>
      </c>
      <c r="I12" s="24">
        <f t="shared" si="1"/>
        <v>0</v>
      </c>
      <c r="J12" s="23">
        <v>0</v>
      </c>
      <c r="K12" s="23">
        <v>0</v>
      </c>
      <c r="L12" s="18">
        <f t="shared" si="2"/>
        <v>0</v>
      </c>
      <c r="M12" s="23">
        <v>5</v>
      </c>
      <c r="N12" s="23">
        <v>0</v>
      </c>
      <c r="O12" s="23">
        <v>2</v>
      </c>
      <c r="P12" s="23">
        <v>1</v>
      </c>
      <c r="Q12" s="23">
        <v>0</v>
      </c>
      <c r="R12" s="25">
        <v>8</v>
      </c>
    </row>
    <row r="13" spans="1:18" s="6" customFormat="1" x14ac:dyDescent="0.25">
      <c r="A13" s="26">
        <v>42164</v>
      </c>
      <c r="B13" s="26"/>
      <c r="C13" s="15" t="s">
        <v>61</v>
      </c>
      <c r="D13" s="44">
        <v>0</v>
      </c>
      <c r="E13" s="23">
        <v>1</v>
      </c>
      <c r="F13" s="38">
        <f t="shared" ref="F13:F22" si="3">IF(E13=0,0,D13/E13)</f>
        <v>0</v>
      </c>
      <c r="G13" s="23">
        <v>0</v>
      </c>
      <c r="H13" s="23">
        <v>1</v>
      </c>
      <c r="I13" s="38">
        <f t="shared" ref="I13:I22" si="4">IF(H13=0,0,G13/H13)</f>
        <v>0</v>
      </c>
      <c r="J13" s="23">
        <v>0</v>
      </c>
      <c r="K13" s="23">
        <v>0</v>
      </c>
      <c r="L13" s="19">
        <f t="shared" ref="L13:L22" si="5">IF(K13=0,0,J13/K13)</f>
        <v>0</v>
      </c>
      <c r="M13" s="23">
        <v>1</v>
      </c>
      <c r="N13" s="23">
        <v>0</v>
      </c>
      <c r="O13" s="23">
        <v>0</v>
      </c>
      <c r="P13" s="23">
        <v>0</v>
      </c>
      <c r="Q13" s="23">
        <v>0</v>
      </c>
      <c r="R13" s="25">
        <v>0</v>
      </c>
    </row>
    <row r="14" spans="1:18" x14ac:dyDescent="0.25">
      <c r="A14" s="14">
        <v>42164</v>
      </c>
      <c r="B14" s="15"/>
      <c r="C14" s="15" t="s">
        <v>92</v>
      </c>
      <c r="D14" s="16">
        <v>2</v>
      </c>
      <c r="E14" s="16">
        <v>7</v>
      </c>
      <c r="F14" s="19">
        <f t="shared" si="3"/>
        <v>0.2857142857142857</v>
      </c>
      <c r="G14" s="16">
        <v>0</v>
      </c>
      <c r="H14" s="16">
        <v>0</v>
      </c>
      <c r="I14" s="19">
        <f t="shared" si="4"/>
        <v>0</v>
      </c>
      <c r="J14" s="16">
        <v>1</v>
      </c>
      <c r="K14" s="16">
        <v>1</v>
      </c>
      <c r="L14" s="19">
        <f t="shared" si="5"/>
        <v>1</v>
      </c>
      <c r="M14" s="16">
        <v>5</v>
      </c>
      <c r="N14" s="16">
        <v>1</v>
      </c>
      <c r="O14" s="16">
        <v>1</v>
      </c>
      <c r="P14" s="16">
        <v>1</v>
      </c>
      <c r="Q14" s="16">
        <v>1</v>
      </c>
      <c r="R14" s="16">
        <v>5</v>
      </c>
    </row>
    <row r="15" spans="1:18" x14ac:dyDescent="0.25">
      <c r="A15" s="21">
        <v>42166</v>
      </c>
      <c r="B15" s="20"/>
      <c r="C15" s="41" t="s">
        <v>59</v>
      </c>
      <c r="D15" s="42">
        <v>3</v>
      </c>
      <c r="E15" s="42">
        <v>8</v>
      </c>
      <c r="F15" s="19">
        <f t="shared" si="3"/>
        <v>0.375</v>
      </c>
      <c r="G15" s="42">
        <v>0</v>
      </c>
      <c r="H15" s="42">
        <v>0</v>
      </c>
      <c r="I15" s="19">
        <f t="shared" si="4"/>
        <v>0</v>
      </c>
      <c r="J15" s="42">
        <v>1</v>
      </c>
      <c r="K15" s="42">
        <v>2</v>
      </c>
      <c r="L15" s="19">
        <f t="shared" si="5"/>
        <v>0.5</v>
      </c>
      <c r="M15" s="42">
        <v>4</v>
      </c>
      <c r="N15" s="42">
        <v>7</v>
      </c>
      <c r="O15" s="42">
        <v>0</v>
      </c>
      <c r="P15" s="42">
        <v>0</v>
      </c>
      <c r="Q15" s="42">
        <v>0</v>
      </c>
      <c r="R15" s="42">
        <v>7</v>
      </c>
    </row>
    <row r="16" spans="1:18" x14ac:dyDescent="0.25">
      <c r="A16" s="43">
        <v>42166</v>
      </c>
      <c r="B16" s="43"/>
      <c r="C16" s="41" t="s">
        <v>60</v>
      </c>
      <c r="D16" s="44">
        <v>4</v>
      </c>
      <c r="E16" s="23">
        <v>6</v>
      </c>
      <c r="F16" s="38">
        <f t="shared" si="3"/>
        <v>0.66666666666666663</v>
      </c>
      <c r="G16" s="23">
        <v>0</v>
      </c>
      <c r="H16" s="23">
        <v>0</v>
      </c>
      <c r="I16" s="38">
        <f t="shared" si="4"/>
        <v>0</v>
      </c>
      <c r="J16" s="23">
        <v>2</v>
      </c>
      <c r="K16" s="23">
        <v>2</v>
      </c>
      <c r="L16" s="19">
        <f t="shared" si="5"/>
        <v>1</v>
      </c>
      <c r="M16" s="23">
        <v>4</v>
      </c>
      <c r="N16" s="23">
        <v>2</v>
      </c>
      <c r="O16" s="23">
        <v>0</v>
      </c>
      <c r="P16" s="23">
        <v>0</v>
      </c>
      <c r="Q16" s="23">
        <v>2</v>
      </c>
      <c r="R16" s="25">
        <v>10</v>
      </c>
    </row>
    <row r="17" spans="1:18" x14ac:dyDescent="0.25">
      <c r="A17" s="43">
        <v>42166</v>
      </c>
      <c r="B17" s="43"/>
      <c r="C17" s="41" t="s">
        <v>92</v>
      </c>
      <c r="D17" s="44">
        <v>3</v>
      </c>
      <c r="E17" s="23">
        <v>5</v>
      </c>
      <c r="F17" s="38">
        <f t="shared" si="3"/>
        <v>0.6</v>
      </c>
      <c r="G17" s="23">
        <v>0</v>
      </c>
      <c r="H17" s="23">
        <v>0</v>
      </c>
      <c r="I17" s="38">
        <f t="shared" si="4"/>
        <v>0</v>
      </c>
      <c r="J17" s="23">
        <v>2</v>
      </c>
      <c r="K17" s="23">
        <v>2</v>
      </c>
      <c r="L17" s="19">
        <f t="shared" si="5"/>
        <v>1</v>
      </c>
      <c r="M17" s="23">
        <v>8</v>
      </c>
      <c r="N17" s="23">
        <v>0</v>
      </c>
      <c r="O17" s="23">
        <v>1</v>
      </c>
      <c r="P17" s="23">
        <v>1</v>
      </c>
      <c r="Q17" s="23">
        <v>1</v>
      </c>
      <c r="R17" s="25">
        <v>8</v>
      </c>
    </row>
    <row r="18" spans="1:18" x14ac:dyDescent="0.25">
      <c r="A18" s="43">
        <v>42166</v>
      </c>
      <c r="B18" s="43"/>
      <c r="C18" s="41" t="s">
        <v>103</v>
      </c>
      <c r="D18" s="44">
        <v>1</v>
      </c>
      <c r="E18" s="23">
        <v>7</v>
      </c>
      <c r="F18" s="38">
        <f t="shared" si="3"/>
        <v>0.14285714285714285</v>
      </c>
      <c r="G18" s="23">
        <v>1</v>
      </c>
      <c r="H18" s="23">
        <v>5</v>
      </c>
      <c r="I18" s="38">
        <f t="shared" si="4"/>
        <v>0.2</v>
      </c>
      <c r="J18" s="23">
        <v>0</v>
      </c>
      <c r="K18" s="23">
        <v>0</v>
      </c>
      <c r="L18" s="19">
        <f t="shared" si="5"/>
        <v>0</v>
      </c>
      <c r="M18" s="23">
        <v>2</v>
      </c>
      <c r="N18" s="23">
        <v>2</v>
      </c>
      <c r="O18" s="23">
        <v>0</v>
      </c>
      <c r="P18" s="23">
        <v>0</v>
      </c>
      <c r="Q18" s="23">
        <v>3</v>
      </c>
      <c r="R18" s="25">
        <v>3</v>
      </c>
    </row>
    <row r="19" spans="1:18" x14ac:dyDescent="0.25">
      <c r="A19" s="43">
        <v>42167</v>
      </c>
      <c r="B19" s="43"/>
      <c r="C19" s="15" t="s">
        <v>58</v>
      </c>
      <c r="D19" s="44">
        <v>8</v>
      </c>
      <c r="E19" s="23">
        <v>11</v>
      </c>
      <c r="F19" s="38">
        <f t="shared" si="3"/>
        <v>0.72727272727272729</v>
      </c>
      <c r="G19" s="23">
        <v>0</v>
      </c>
      <c r="H19" s="23">
        <v>0</v>
      </c>
      <c r="I19" s="38">
        <f t="shared" si="4"/>
        <v>0</v>
      </c>
      <c r="J19" s="23">
        <v>5</v>
      </c>
      <c r="K19" s="23">
        <v>5</v>
      </c>
      <c r="L19" s="27">
        <f t="shared" si="5"/>
        <v>1</v>
      </c>
      <c r="M19" s="23">
        <v>9</v>
      </c>
      <c r="N19" s="23">
        <v>1</v>
      </c>
      <c r="O19" s="23">
        <v>0</v>
      </c>
      <c r="P19" s="23">
        <v>1</v>
      </c>
      <c r="Q19" s="23">
        <v>1</v>
      </c>
      <c r="R19" s="25">
        <v>21</v>
      </c>
    </row>
    <row r="20" spans="1:18" x14ac:dyDescent="0.25">
      <c r="A20" s="43">
        <v>42167</v>
      </c>
      <c r="B20" s="43"/>
      <c r="C20" s="15" t="s">
        <v>99</v>
      </c>
      <c r="D20" s="44">
        <v>1</v>
      </c>
      <c r="E20" s="23">
        <v>3</v>
      </c>
      <c r="F20" s="38">
        <f t="shared" si="3"/>
        <v>0.33333333333333331</v>
      </c>
      <c r="G20" s="23">
        <v>0</v>
      </c>
      <c r="H20" s="23">
        <v>1</v>
      </c>
      <c r="I20" s="38">
        <f t="shared" si="4"/>
        <v>0</v>
      </c>
      <c r="J20" s="23">
        <v>1</v>
      </c>
      <c r="K20" s="23">
        <v>1</v>
      </c>
      <c r="L20" s="27">
        <f t="shared" si="5"/>
        <v>1</v>
      </c>
      <c r="M20" s="23">
        <v>3</v>
      </c>
      <c r="N20" s="23">
        <v>5</v>
      </c>
      <c r="O20" s="23">
        <v>0</v>
      </c>
      <c r="P20" s="23">
        <v>2</v>
      </c>
      <c r="Q20" s="23">
        <v>0</v>
      </c>
      <c r="R20" s="25">
        <v>3</v>
      </c>
    </row>
    <row r="21" spans="1:18" x14ac:dyDescent="0.25">
      <c r="A21" s="43">
        <v>42167</v>
      </c>
      <c r="B21" s="43"/>
      <c r="C21" s="15" t="s">
        <v>103</v>
      </c>
      <c r="D21" s="44">
        <v>1</v>
      </c>
      <c r="E21" s="23">
        <v>3</v>
      </c>
      <c r="F21" s="38">
        <f t="shared" si="3"/>
        <v>0.33333333333333331</v>
      </c>
      <c r="G21" s="23">
        <v>0</v>
      </c>
      <c r="H21" s="23">
        <v>1</v>
      </c>
      <c r="I21" s="38">
        <f t="shared" si="4"/>
        <v>0</v>
      </c>
      <c r="J21" s="23">
        <v>1</v>
      </c>
      <c r="K21" s="23">
        <v>2</v>
      </c>
      <c r="L21" s="27">
        <f t="shared" si="5"/>
        <v>0.5</v>
      </c>
      <c r="M21" s="23">
        <v>8</v>
      </c>
      <c r="N21" s="23">
        <v>0</v>
      </c>
      <c r="O21" s="23">
        <v>0</v>
      </c>
      <c r="P21" s="23">
        <v>3</v>
      </c>
      <c r="Q21" s="23">
        <v>2</v>
      </c>
      <c r="R21" s="25">
        <v>3</v>
      </c>
    </row>
    <row r="22" spans="1:18" x14ac:dyDescent="0.25">
      <c r="A22" s="43">
        <v>42167</v>
      </c>
      <c r="B22" s="26"/>
      <c r="C22" s="15" t="s">
        <v>61</v>
      </c>
      <c r="D22" s="44">
        <v>1</v>
      </c>
      <c r="E22" s="23">
        <v>2</v>
      </c>
      <c r="F22" s="38">
        <f t="shared" si="3"/>
        <v>0.5</v>
      </c>
      <c r="G22" s="23">
        <v>0</v>
      </c>
      <c r="H22" s="23">
        <v>1</v>
      </c>
      <c r="I22" s="38">
        <f t="shared" si="4"/>
        <v>0</v>
      </c>
      <c r="J22" s="23">
        <v>0</v>
      </c>
      <c r="K22" s="23">
        <v>0</v>
      </c>
      <c r="L22" s="19">
        <f t="shared" si="5"/>
        <v>0</v>
      </c>
      <c r="M22" s="23">
        <v>1</v>
      </c>
      <c r="N22" s="23">
        <v>0</v>
      </c>
      <c r="O22" s="23">
        <v>0</v>
      </c>
      <c r="P22" s="23">
        <v>0</v>
      </c>
      <c r="Q22" s="23">
        <v>0</v>
      </c>
      <c r="R22" s="25">
        <v>2</v>
      </c>
    </row>
    <row r="23" spans="1:18" x14ac:dyDescent="0.25">
      <c r="A23" s="43">
        <v>42169</v>
      </c>
      <c r="B23" s="43"/>
      <c r="C23" s="15" t="s">
        <v>59</v>
      </c>
      <c r="D23" s="44">
        <v>6</v>
      </c>
      <c r="E23" s="23">
        <v>12</v>
      </c>
      <c r="F23" s="38">
        <f t="shared" ref="F23:F31" si="6">IF(E23=0,0,D23/E23)</f>
        <v>0.5</v>
      </c>
      <c r="G23" s="23">
        <v>0</v>
      </c>
      <c r="H23" s="23">
        <v>0</v>
      </c>
      <c r="I23" s="38">
        <f t="shared" ref="I23:I31" si="7">IF(H23=0,0,G23/H23)</f>
        <v>0</v>
      </c>
      <c r="J23" s="23">
        <v>1</v>
      </c>
      <c r="K23" s="23">
        <v>1</v>
      </c>
      <c r="L23" s="45">
        <f t="shared" ref="L23:L31" si="8">IF(K23=0,0,J23/K23)</f>
        <v>1</v>
      </c>
      <c r="M23" s="23">
        <v>3</v>
      </c>
      <c r="N23" s="23">
        <v>3</v>
      </c>
      <c r="O23" s="23">
        <v>0</v>
      </c>
      <c r="P23" s="23">
        <v>4</v>
      </c>
      <c r="Q23" s="23">
        <v>0</v>
      </c>
      <c r="R23" s="25">
        <v>13</v>
      </c>
    </row>
    <row r="24" spans="1:18" x14ac:dyDescent="0.25">
      <c r="A24" s="21">
        <v>42169</v>
      </c>
      <c r="B24" s="20"/>
      <c r="C24" s="15" t="s">
        <v>60</v>
      </c>
      <c r="D24" s="16">
        <v>1</v>
      </c>
      <c r="E24" s="16">
        <v>3</v>
      </c>
      <c r="F24" s="45">
        <f t="shared" si="6"/>
        <v>0.33333333333333331</v>
      </c>
      <c r="G24" s="16">
        <v>0</v>
      </c>
      <c r="H24" s="16">
        <v>0</v>
      </c>
      <c r="I24" s="45">
        <f t="shared" si="7"/>
        <v>0</v>
      </c>
      <c r="J24" s="16">
        <v>0</v>
      </c>
      <c r="K24" s="16">
        <v>0</v>
      </c>
      <c r="L24" s="45">
        <f t="shared" si="8"/>
        <v>0</v>
      </c>
      <c r="M24" s="16">
        <v>4</v>
      </c>
      <c r="N24" s="16">
        <v>1</v>
      </c>
      <c r="O24" s="16">
        <v>0</v>
      </c>
      <c r="P24" s="16">
        <v>2</v>
      </c>
      <c r="Q24" s="16">
        <v>0</v>
      </c>
      <c r="R24" s="16">
        <v>2</v>
      </c>
    </row>
    <row r="25" spans="1:18" x14ac:dyDescent="0.25">
      <c r="A25" s="43">
        <v>42169</v>
      </c>
      <c r="B25" s="43"/>
      <c r="C25" s="15" t="s">
        <v>58</v>
      </c>
      <c r="D25" s="44">
        <v>1</v>
      </c>
      <c r="E25" s="23">
        <v>6</v>
      </c>
      <c r="F25" s="38">
        <f t="shared" si="6"/>
        <v>0.16666666666666666</v>
      </c>
      <c r="G25" s="23">
        <v>0</v>
      </c>
      <c r="H25" s="23">
        <v>0</v>
      </c>
      <c r="I25" s="38">
        <f t="shared" si="7"/>
        <v>0</v>
      </c>
      <c r="J25" s="23">
        <v>0</v>
      </c>
      <c r="K25" s="23">
        <v>0</v>
      </c>
      <c r="L25" s="45">
        <f t="shared" si="8"/>
        <v>0</v>
      </c>
      <c r="M25" s="23">
        <v>5</v>
      </c>
      <c r="N25" s="23">
        <v>2</v>
      </c>
      <c r="O25" s="23">
        <v>3</v>
      </c>
      <c r="P25" s="23">
        <v>3</v>
      </c>
      <c r="Q25" s="23">
        <v>2</v>
      </c>
      <c r="R25" s="25">
        <v>2</v>
      </c>
    </row>
    <row r="26" spans="1:18" x14ac:dyDescent="0.25">
      <c r="A26" s="43">
        <v>42169</v>
      </c>
      <c r="B26" s="43"/>
      <c r="C26" s="15" t="s">
        <v>99</v>
      </c>
      <c r="D26" s="44">
        <v>5</v>
      </c>
      <c r="E26" s="23">
        <v>13</v>
      </c>
      <c r="F26" s="38">
        <f t="shared" si="6"/>
        <v>0.38461538461538464</v>
      </c>
      <c r="G26" s="23">
        <v>3</v>
      </c>
      <c r="H26" s="23">
        <v>7</v>
      </c>
      <c r="I26" s="38">
        <f t="shared" si="7"/>
        <v>0.42857142857142855</v>
      </c>
      <c r="J26" s="23">
        <v>0</v>
      </c>
      <c r="K26" s="23">
        <v>0</v>
      </c>
      <c r="L26" s="45">
        <f t="shared" si="8"/>
        <v>0</v>
      </c>
      <c r="M26" s="23">
        <v>4</v>
      </c>
      <c r="N26" s="23">
        <v>3</v>
      </c>
      <c r="O26" s="23">
        <v>1</v>
      </c>
      <c r="P26" s="23">
        <v>0</v>
      </c>
      <c r="Q26" s="23">
        <v>0</v>
      </c>
      <c r="R26" s="25">
        <v>13</v>
      </c>
    </row>
    <row r="27" spans="1:18" x14ac:dyDescent="0.25">
      <c r="A27" s="43">
        <v>42169</v>
      </c>
      <c r="B27" s="43"/>
      <c r="C27" s="15" t="s">
        <v>103</v>
      </c>
      <c r="D27" s="44">
        <v>3</v>
      </c>
      <c r="E27" s="23">
        <v>5</v>
      </c>
      <c r="F27" s="38">
        <f t="shared" si="6"/>
        <v>0.6</v>
      </c>
      <c r="G27" s="23">
        <v>1</v>
      </c>
      <c r="H27" s="23">
        <v>1</v>
      </c>
      <c r="I27" s="38">
        <f t="shared" si="7"/>
        <v>1</v>
      </c>
      <c r="J27" s="23">
        <v>2</v>
      </c>
      <c r="K27" s="23">
        <v>2</v>
      </c>
      <c r="L27" s="45">
        <f t="shared" si="8"/>
        <v>1</v>
      </c>
      <c r="M27" s="23">
        <v>10</v>
      </c>
      <c r="N27" s="23">
        <v>0</v>
      </c>
      <c r="O27" s="23">
        <v>0</v>
      </c>
      <c r="P27" s="23">
        <v>1</v>
      </c>
      <c r="Q27" s="23">
        <v>0</v>
      </c>
      <c r="R27" s="25">
        <v>9</v>
      </c>
    </row>
    <row r="28" spans="1:18" x14ac:dyDescent="0.25">
      <c r="A28" s="43">
        <v>42169</v>
      </c>
      <c r="B28" s="43"/>
      <c r="C28" s="15" t="s">
        <v>92</v>
      </c>
      <c r="D28" s="44">
        <v>2</v>
      </c>
      <c r="E28" s="23">
        <v>5</v>
      </c>
      <c r="F28" s="38">
        <f t="shared" si="6"/>
        <v>0.4</v>
      </c>
      <c r="G28" s="23">
        <v>0</v>
      </c>
      <c r="H28" s="23">
        <v>0</v>
      </c>
      <c r="I28" s="38">
        <f t="shared" si="7"/>
        <v>0</v>
      </c>
      <c r="J28" s="23">
        <v>2</v>
      </c>
      <c r="K28" s="23">
        <v>3</v>
      </c>
      <c r="L28" s="45">
        <f t="shared" si="8"/>
        <v>0.66666666666666663</v>
      </c>
      <c r="M28" s="23">
        <v>5</v>
      </c>
      <c r="N28" s="23">
        <v>1</v>
      </c>
      <c r="O28" s="23">
        <v>0</v>
      </c>
      <c r="P28" s="23">
        <v>2</v>
      </c>
      <c r="Q28" s="23">
        <v>0</v>
      </c>
      <c r="R28" s="25">
        <v>6</v>
      </c>
    </row>
    <row r="29" spans="1:18" x14ac:dyDescent="0.25">
      <c r="A29" s="43">
        <v>42171</v>
      </c>
      <c r="B29" s="43"/>
      <c r="C29" s="15" t="s">
        <v>59</v>
      </c>
      <c r="D29" s="44">
        <v>4</v>
      </c>
      <c r="E29" s="23">
        <v>7</v>
      </c>
      <c r="F29" s="38">
        <f t="shared" si="6"/>
        <v>0.5714285714285714</v>
      </c>
      <c r="G29" s="23">
        <v>0</v>
      </c>
      <c r="H29" s="23">
        <v>0</v>
      </c>
      <c r="I29" s="38">
        <f t="shared" si="7"/>
        <v>0</v>
      </c>
      <c r="J29" s="23">
        <v>0</v>
      </c>
      <c r="K29" s="23">
        <v>0</v>
      </c>
      <c r="L29" s="45">
        <f t="shared" si="8"/>
        <v>0</v>
      </c>
      <c r="M29" s="23">
        <v>4</v>
      </c>
      <c r="N29" s="23">
        <v>7</v>
      </c>
      <c r="O29" s="23">
        <v>0</v>
      </c>
      <c r="P29" s="23">
        <v>0</v>
      </c>
      <c r="Q29" s="23">
        <v>0</v>
      </c>
      <c r="R29" s="25">
        <v>8</v>
      </c>
    </row>
    <row r="30" spans="1:18" x14ac:dyDescent="0.25">
      <c r="A30" s="43">
        <v>42171</v>
      </c>
      <c r="B30" s="43"/>
      <c r="C30" s="15" t="s">
        <v>60</v>
      </c>
      <c r="D30" s="44">
        <v>1</v>
      </c>
      <c r="E30" s="23">
        <v>2</v>
      </c>
      <c r="F30" s="38">
        <f t="shared" si="6"/>
        <v>0.5</v>
      </c>
      <c r="G30" s="23">
        <v>0</v>
      </c>
      <c r="H30" s="23">
        <v>0</v>
      </c>
      <c r="I30" s="38">
        <f t="shared" si="7"/>
        <v>0</v>
      </c>
      <c r="J30" s="23">
        <v>0</v>
      </c>
      <c r="K30" s="23">
        <v>0</v>
      </c>
      <c r="L30" s="45">
        <f t="shared" si="8"/>
        <v>0</v>
      </c>
      <c r="M30" s="23">
        <v>1</v>
      </c>
      <c r="N30" s="23">
        <v>0</v>
      </c>
      <c r="O30" s="23">
        <v>0</v>
      </c>
      <c r="P30" s="23">
        <v>3</v>
      </c>
      <c r="Q30" s="23">
        <v>0</v>
      </c>
      <c r="R30" s="25">
        <v>2</v>
      </c>
    </row>
    <row r="31" spans="1:18" x14ac:dyDescent="0.25">
      <c r="A31" s="43">
        <v>42171</v>
      </c>
      <c r="B31" s="43"/>
      <c r="C31" s="15" t="s">
        <v>92</v>
      </c>
      <c r="D31" s="44">
        <v>5</v>
      </c>
      <c r="E31" s="23">
        <v>10</v>
      </c>
      <c r="F31" s="38">
        <f t="shared" si="6"/>
        <v>0.5</v>
      </c>
      <c r="G31" s="23">
        <v>0</v>
      </c>
      <c r="H31" s="23">
        <v>0</v>
      </c>
      <c r="I31" s="38">
        <f t="shared" si="7"/>
        <v>0</v>
      </c>
      <c r="J31" s="23">
        <v>3</v>
      </c>
      <c r="K31" s="23">
        <v>3</v>
      </c>
      <c r="L31" s="45">
        <f t="shared" si="8"/>
        <v>1</v>
      </c>
      <c r="M31" s="23">
        <v>6</v>
      </c>
      <c r="N31" s="23">
        <v>0</v>
      </c>
      <c r="O31" s="23">
        <v>0</v>
      </c>
      <c r="P31" s="23">
        <v>4</v>
      </c>
      <c r="Q31" s="23">
        <v>0</v>
      </c>
      <c r="R31" s="25">
        <v>13</v>
      </c>
    </row>
    <row r="32" spans="1:18" x14ac:dyDescent="0.25">
      <c r="A32" s="43">
        <v>42174</v>
      </c>
      <c r="B32" s="43"/>
      <c r="C32" s="15" t="s">
        <v>58</v>
      </c>
      <c r="D32" s="44">
        <v>11</v>
      </c>
      <c r="E32" s="23">
        <v>15</v>
      </c>
      <c r="F32" s="38">
        <f t="shared" ref="F32:F53" si="9">IF(E32=0,0,D32/E32)</f>
        <v>0.73333333333333328</v>
      </c>
      <c r="G32" s="23">
        <v>0</v>
      </c>
      <c r="H32" s="23">
        <v>0</v>
      </c>
      <c r="I32" s="38">
        <f t="shared" ref="I32:I53" si="10">IF(H32=0,0,G32/H32)</f>
        <v>0</v>
      </c>
      <c r="J32" s="23">
        <v>2</v>
      </c>
      <c r="K32" s="23">
        <v>2</v>
      </c>
      <c r="L32" s="19">
        <f t="shared" ref="L32:L53" si="11">IF(K32=0,0,J32/K32)</f>
        <v>1</v>
      </c>
      <c r="M32" s="23">
        <v>10</v>
      </c>
      <c r="N32" s="23">
        <v>0</v>
      </c>
      <c r="O32" s="23">
        <v>1</v>
      </c>
      <c r="P32" s="23">
        <v>2</v>
      </c>
      <c r="Q32" s="23">
        <v>6</v>
      </c>
      <c r="R32" s="25">
        <v>24</v>
      </c>
    </row>
    <row r="33" spans="1:18" x14ac:dyDescent="0.25">
      <c r="A33" s="43">
        <v>42174</v>
      </c>
      <c r="B33" s="43"/>
      <c r="C33" s="15" t="s">
        <v>99</v>
      </c>
      <c r="D33" s="44">
        <v>2</v>
      </c>
      <c r="E33" s="23">
        <v>8</v>
      </c>
      <c r="F33" s="38">
        <f t="shared" si="9"/>
        <v>0.25</v>
      </c>
      <c r="G33" s="23">
        <v>1</v>
      </c>
      <c r="H33" s="23">
        <v>6</v>
      </c>
      <c r="I33" s="38">
        <f t="shared" si="10"/>
        <v>0.16666666666666666</v>
      </c>
      <c r="J33" s="23">
        <v>5</v>
      </c>
      <c r="K33" s="23">
        <v>5</v>
      </c>
      <c r="L33" s="19">
        <f t="shared" si="11"/>
        <v>1</v>
      </c>
      <c r="M33" s="23">
        <v>2</v>
      </c>
      <c r="N33" s="23">
        <v>6</v>
      </c>
      <c r="O33" s="23">
        <v>0</v>
      </c>
      <c r="P33" s="23">
        <v>0</v>
      </c>
      <c r="Q33" s="23">
        <v>1</v>
      </c>
      <c r="R33" s="25">
        <v>10</v>
      </c>
    </row>
    <row r="34" spans="1:18" x14ac:dyDescent="0.25">
      <c r="A34" s="43">
        <v>42174</v>
      </c>
      <c r="B34" s="43"/>
      <c r="C34" s="15" t="s">
        <v>59</v>
      </c>
      <c r="D34" s="44">
        <v>2</v>
      </c>
      <c r="E34" s="23">
        <v>6</v>
      </c>
      <c r="F34" s="38">
        <f t="shared" si="9"/>
        <v>0.33333333333333331</v>
      </c>
      <c r="G34" s="23">
        <v>0</v>
      </c>
      <c r="H34" s="23">
        <v>0</v>
      </c>
      <c r="I34" s="38">
        <f t="shared" si="10"/>
        <v>0</v>
      </c>
      <c r="J34" s="23">
        <v>2</v>
      </c>
      <c r="K34" s="23">
        <v>2</v>
      </c>
      <c r="L34" s="19">
        <f t="shared" si="11"/>
        <v>1</v>
      </c>
      <c r="M34" s="23">
        <v>3</v>
      </c>
      <c r="N34" s="23">
        <v>0</v>
      </c>
      <c r="O34" s="23">
        <v>1</v>
      </c>
      <c r="P34" s="23">
        <v>6</v>
      </c>
      <c r="Q34" s="23">
        <v>0</v>
      </c>
      <c r="R34" s="25">
        <v>6</v>
      </c>
    </row>
    <row r="35" spans="1:18" x14ac:dyDescent="0.25">
      <c r="A35" s="43">
        <v>42174</v>
      </c>
      <c r="B35" s="43"/>
      <c r="C35" s="15" t="s">
        <v>60</v>
      </c>
      <c r="D35" s="44">
        <v>3</v>
      </c>
      <c r="E35" s="23">
        <v>5</v>
      </c>
      <c r="F35" s="38">
        <f t="shared" si="9"/>
        <v>0.6</v>
      </c>
      <c r="G35" s="23">
        <v>0</v>
      </c>
      <c r="H35" s="23">
        <v>0</v>
      </c>
      <c r="I35" s="38">
        <f t="shared" si="10"/>
        <v>0</v>
      </c>
      <c r="J35" s="23">
        <v>1</v>
      </c>
      <c r="K35" s="23">
        <v>2</v>
      </c>
      <c r="L35" s="19">
        <f t="shared" si="11"/>
        <v>0.5</v>
      </c>
      <c r="M35" s="23">
        <v>3</v>
      </c>
      <c r="N35" s="23">
        <v>3</v>
      </c>
      <c r="O35" s="23">
        <v>0</v>
      </c>
      <c r="P35" s="23">
        <v>0</v>
      </c>
      <c r="Q35" s="23">
        <v>0</v>
      </c>
      <c r="R35" s="25">
        <v>7</v>
      </c>
    </row>
    <row r="36" spans="1:18" x14ac:dyDescent="0.25">
      <c r="A36" s="43">
        <v>42174</v>
      </c>
      <c r="B36" s="43"/>
      <c r="C36" s="15" t="s">
        <v>111</v>
      </c>
      <c r="D36" s="44">
        <v>0</v>
      </c>
      <c r="E36" s="23">
        <v>2</v>
      </c>
      <c r="F36" s="38">
        <f t="shared" si="9"/>
        <v>0</v>
      </c>
      <c r="G36" s="23">
        <v>0</v>
      </c>
      <c r="H36" s="23">
        <v>2</v>
      </c>
      <c r="I36" s="38">
        <f t="shared" si="10"/>
        <v>0</v>
      </c>
      <c r="J36" s="23">
        <v>0</v>
      </c>
      <c r="K36" s="23">
        <v>0</v>
      </c>
      <c r="L36" s="19">
        <f t="shared" si="11"/>
        <v>0</v>
      </c>
      <c r="M36" s="23">
        <v>1</v>
      </c>
      <c r="N36" s="23">
        <v>0</v>
      </c>
      <c r="O36" s="23">
        <v>0</v>
      </c>
      <c r="P36" s="23">
        <v>0</v>
      </c>
      <c r="Q36" s="23">
        <v>0</v>
      </c>
      <c r="R36" s="25">
        <v>0</v>
      </c>
    </row>
    <row r="37" spans="1:18" x14ac:dyDescent="0.25">
      <c r="A37" s="43">
        <v>42174</v>
      </c>
      <c r="B37" s="43"/>
      <c r="C37" s="15" t="s">
        <v>103</v>
      </c>
      <c r="D37" s="44">
        <v>4</v>
      </c>
      <c r="E37" s="23">
        <v>9</v>
      </c>
      <c r="F37" s="38">
        <f t="shared" si="9"/>
        <v>0.44444444444444442</v>
      </c>
      <c r="G37" s="23">
        <v>0</v>
      </c>
      <c r="H37" s="23">
        <v>2</v>
      </c>
      <c r="I37" s="38">
        <f t="shared" si="10"/>
        <v>0</v>
      </c>
      <c r="J37" s="23">
        <v>0</v>
      </c>
      <c r="K37" s="23">
        <v>0</v>
      </c>
      <c r="L37" s="19">
        <f t="shared" si="11"/>
        <v>0</v>
      </c>
      <c r="M37" s="23">
        <v>8</v>
      </c>
      <c r="N37" s="23">
        <v>2</v>
      </c>
      <c r="O37" s="23">
        <v>0</v>
      </c>
      <c r="P37" s="23">
        <v>1</v>
      </c>
      <c r="Q37" s="23">
        <v>0</v>
      </c>
      <c r="R37" s="25">
        <v>8</v>
      </c>
    </row>
    <row r="38" spans="1:18" x14ac:dyDescent="0.25">
      <c r="A38" s="21">
        <v>42175</v>
      </c>
      <c r="B38" s="20"/>
      <c r="C38" s="15" t="s">
        <v>58</v>
      </c>
      <c r="D38" s="16">
        <v>7</v>
      </c>
      <c r="E38" s="16">
        <v>11</v>
      </c>
      <c r="F38" s="19">
        <f t="shared" si="9"/>
        <v>0.63636363636363635</v>
      </c>
      <c r="G38" s="16">
        <v>0</v>
      </c>
      <c r="H38" s="16">
        <v>0</v>
      </c>
      <c r="I38" s="19">
        <f t="shared" si="10"/>
        <v>0</v>
      </c>
      <c r="J38" s="16">
        <v>1</v>
      </c>
      <c r="K38" s="16">
        <v>1</v>
      </c>
      <c r="L38" s="19">
        <f t="shared" si="11"/>
        <v>1</v>
      </c>
      <c r="M38" s="16">
        <v>7</v>
      </c>
      <c r="N38" s="16">
        <v>2</v>
      </c>
      <c r="O38" s="16">
        <v>3</v>
      </c>
      <c r="P38" s="16">
        <v>3</v>
      </c>
      <c r="Q38" s="16">
        <v>0</v>
      </c>
      <c r="R38" s="16">
        <v>15</v>
      </c>
    </row>
    <row r="39" spans="1:18" x14ac:dyDescent="0.25">
      <c r="A39" s="21">
        <v>42175</v>
      </c>
      <c r="B39" s="20"/>
      <c r="C39" s="15" t="s">
        <v>99</v>
      </c>
      <c r="D39" s="16">
        <v>2</v>
      </c>
      <c r="E39" s="16">
        <v>8</v>
      </c>
      <c r="F39" s="19">
        <f t="shared" si="9"/>
        <v>0.25</v>
      </c>
      <c r="G39" s="16">
        <v>1</v>
      </c>
      <c r="H39" s="16">
        <v>4</v>
      </c>
      <c r="I39" s="19">
        <f t="shared" si="10"/>
        <v>0.25</v>
      </c>
      <c r="J39" s="16">
        <v>3</v>
      </c>
      <c r="K39" s="16">
        <v>3</v>
      </c>
      <c r="L39" s="19">
        <f t="shared" si="11"/>
        <v>1</v>
      </c>
      <c r="M39" s="16">
        <v>9</v>
      </c>
      <c r="N39" s="16">
        <v>7</v>
      </c>
      <c r="O39" s="16">
        <v>1</v>
      </c>
      <c r="P39" s="16">
        <v>1</v>
      </c>
      <c r="Q39" s="16">
        <v>0</v>
      </c>
      <c r="R39" s="16">
        <v>8</v>
      </c>
    </row>
    <row r="40" spans="1:18" x14ac:dyDescent="0.25">
      <c r="A40" s="43">
        <v>42176</v>
      </c>
      <c r="B40" s="43"/>
      <c r="C40" s="15" t="s">
        <v>59</v>
      </c>
      <c r="D40" s="44">
        <v>3</v>
      </c>
      <c r="E40" s="23">
        <v>7</v>
      </c>
      <c r="F40" s="38">
        <f t="shared" si="9"/>
        <v>0.42857142857142855</v>
      </c>
      <c r="G40" s="23">
        <v>0</v>
      </c>
      <c r="H40" s="23">
        <v>1</v>
      </c>
      <c r="I40" s="38">
        <f t="shared" si="10"/>
        <v>0</v>
      </c>
      <c r="J40" s="23">
        <v>1</v>
      </c>
      <c r="K40" s="23">
        <v>1</v>
      </c>
      <c r="L40" s="19">
        <f t="shared" si="11"/>
        <v>1</v>
      </c>
      <c r="M40" s="23">
        <v>4</v>
      </c>
      <c r="N40" s="23">
        <v>0</v>
      </c>
      <c r="O40" s="23">
        <v>0</v>
      </c>
      <c r="P40" s="23">
        <v>4</v>
      </c>
      <c r="Q40" s="23">
        <v>0</v>
      </c>
      <c r="R40" s="25">
        <v>7</v>
      </c>
    </row>
    <row r="41" spans="1:18" x14ac:dyDescent="0.25">
      <c r="A41" s="43">
        <v>42176</v>
      </c>
      <c r="B41" s="43"/>
      <c r="C41" s="15" t="s">
        <v>60</v>
      </c>
      <c r="D41" s="44">
        <v>6</v>
      </c>
      <c r="E41" s="23">
        <v>7</v>
      </c>
      <c r="F41" s="38">
        <f t="shared" si="9"/>
        <v>0.8571428571428571</v>
      </c>
      <c r="G41" s="23">
        <v>0</v>
      </c>
      <c r="H41" s="23">
        <v>0</v>
      </c>
      <c r="I41" s="38">
        <f t="shared" si="10"/>
        <v>0</v>
      </c>
      <c r="J41" s="23">
        <v>3</v>
      </c>
      <c r="K41" s="23">
        <v>4</v>
      </c>
      <c r="L41" s="19">
        <f t="shared" si="11"/>
        <v>0.75</v>
      </c>
      <c r="M41" s="23">
        <v>6</v>
      </c>
      <c r="N41" s="23">
        <v>3</v>
      </c>
      <c r="O41" s="23">
        <v>0</v>
      </c>
      <c r="P41" s="23">
        <v>2</v>
      </c>
      <c r="Q41" s="23">
        <v>1</v>
      </c>
      <c r="R41" s="25">
        <v>15</v>
      </c>
    </row>
    <row r="42" spans="1:18" x14ac:dyDescent="0.25">
      <c r="A42" s="43">
        <v>42176</v>
      </c>
      <c r="B42" s="43"/>
      <c r="C42" s="15" t="s">
        <v>111</v>
      </c>
      <c r="D42" s="44">
        <v>1</v>
      </c>
      <c r="E42" s="23">
        <v>4</v>
      </c>
      <c r="F42" s="38">
        <f t="shared" si="9"/>
        <v>0.25</v>
      </c>
      <c r="G42" s="23">
        <v>1</v>
      </c>
      <c r="H42" s="23">
        <v>2</v>
      </c>
      <c r="I42" s="38">
        <f t="shared" si="10"/>
        <v>0.5</v>
      </c>
      <c r="J42" s="23">
        <v>0</v>
      </c>
      <c r="K42" s="23">
        <v>0</v>
      </c>
      <c r="L42" s="19">
        <f t="shared" si="11"/>
        <v>0</v>
      </c>
      <c r="M42" s="23">
        <v>1</v>
      </c>
      <c r="N42" s="23">
        <v>0</v>
      </c>
      <c r="O42" s="23">
        <v>1</v>
      </c>
      <c r="P42" s="23">
        <v>0</v>
      </c>
      <c r="Q42" s="23">
        <v>0</v>
      </c>
      <c r="R42" s="25">
        <v>3</v>
      </c>
    </row>
    <row r="43" spans="1:18" x14ac:dyDescent="0.25">
      <c r="A43" s="43">
        <v>42176</v>
      </c>
      <c r="B43" s="43"/>
      <c r="C43" s="15" t="s">
        <v>92</v>
      </c>
      <c r="D43" s="44">
        <v>6</v>
      </c>
      <c r="E43" s="23">
        <v>11</v>
      </c>
      <c r="F43" s="38">
        <f t="shared" si="9"/>
        <v>0.54545454545454541</v>
      </c>
      <c r="G43" s="23">
        <v>0</v>
      </c>
      <c r="H43" s="23">
        <v>0</v>
      </c>
      <c r="I43" s="38">
        <f t="shared" si="10"/>
        <v>0</v>
      </c>
      <c r="J43" s="23">
        <v>1</v>
      </c>
      <c r="K43" s="23">
        <v>1</v>
      </c>
      <c r="L43" s="19">
        <f t="shared" si="11"/>
        <v>1</v>
      </c>
      <c r="M43" s="23">
        <v>7</v>
      </c>
      <c r="N43" s="23">
        <v>0</v>
      </c>
      <c r="O43" s="23">
        <v>0</v>
      </c>
      <c r="P43" s="23">
        <v>1</v>
      </c>
      <c r="Q43" s="23">
        <v>2</v>
      </c>
      <c r="R43" s="25">
        <v>13</v>
      </c>
    </row>
    <row r="44" spans="1:18" x14ac:dyDescent="0.25">
      <c r="A44" s="43">
        <v>42176</v>
      </c>
      <c r="B44" s="43"/>
      <c r="C44" s="15" t="s">
        <v>103</v>
      </c>
      <c r="D44" s="44">
        <v>4</v>
      </c>
      <c r="E44" s="23">
        <v>8</v>
      </c>
      <c r="F44" s="38">
        <f t="shared" si="9"/>
        <v>0.5</v>
      </c>
      <c r="G44" s="23">
        <v>2</v>
      </c>
      <c r="H44" s="23">
        <v>3</v>
      </c>
      <c r="I44" s="38">
        <f t="shared" si="10"/>
        <v>0.66666666666666663</v>
      </c>
      <c r="J44" s="23">
        <v>1</v>
      </c>
      <c r="K44" s="23">
        <v>2</v>
      </c>
      <c r="L44" s="19">
        <f t="shared" si="11"/>
        <v>0.5</v>
      </c>
      <c r="M44" s="23">
        <v>5</v>
      </c>
      <c r="N44" s="23">
        <v>3</v>
      </c>
      <c r="O44" s="23">
        <v>2</v>
      </c>
      <c r="P44" s="23">
        <v>1</v>
      </c>
      <c r="Q44" s="23">
        <v>1</v>
      </c>
      <c r="R44" s="25">
        <v>11</v>
      </c>
    </row>
    <row r="45" spans="1:18" x14ac:dyDescent="0.25">
      <c r="A45" s="43">
        <v>42178</v>
      </c>
      <c r="B45" s="43"/>
      <c r="C45" s="15" t="s">
        <v>58</v>
      </c>
      <c r="D45" s="44">
        <v>9</v>
      </c>
      <c r="E45" s="23">
        <v>12</v>
      </c>
      <c r="F45" s="38">
        <f t="shared" si="9"/>
        <v>0.75</v>
      </c>
      <c r="G45" s="23">
        <v>0</v>
      </c>
      <c r="H45" s="23">
        <v>0</v>
      </c>
      <c r="I45" s="38">
        <f t="shared" si="10"/>
        <v>0</v>
      </c>
      <c r="J45" s="23">
        <v>2</v>
      </c>
      <c r="K45" s="23">
        <v>2</v>
      </c>
      <c r="L45" s="19">
        <f t="shared" si="11"/>
        <v>1</v>
      </c>
      <c r="M45" s="23">
        <v>3</v>
      </c>
      <c r="N45" s="23">
        <v>2</v>
      </c>
      <c r="O45" s="23">
        <v>2</v>
      </c>
      <c r="P45" s="23">
        <v>0</v>
      </c>
      <c r="Q45" s="23">
        <v>0</v>
      </c>
      <c r="R45" s="25">
        <v>20</v>
      </c>
    </row>
    <row r="46" spans="1:18" x14ac:dyDescent="0.25">
      <c r="A46" s="43">
        <v>42178</v>
      </c>
      <c r="B46" s="43"/>
      <c r="C46" s="15" t="s">
        <v>99</v>
      </c>
      <c r="D46" s="44">
        <v>0</v>
      </c>
      <c r="E46" s="23">
        <v>5</v>
      </c>
      <c r="F46" s="38">
        <f t="shared" si="9"/>
        <v>0</v>
      </c>
      <c r="G46" s="23">
        <v>0</v>
      </c>
      <c r="H46" s="23">
        <v>0</v>
      </c>
      <c r="I46" s="38">
        <f t="shared" si="10"/>
        <v>0</v>
      </c>
      <c r="J46" s="23">
        <v>5</v>
      </c>
      <c r="K46" s="23">
        <v>6</v>
      </c>
      <c r="L46" s="19">
        <f t="shared" si="11"/>
        <v>0.83333333333333337</v>
      </c>
      <c r="M46" s="23">
        <v>2</v>
      </c>
      <c r="N46" s="23">
        <v>8</v>
      </c>
      <c r="O46" s="23">
        <v>2</v>
      </c>
      <c r="P46" s="23">
        <v>0</v>
      </c>
      <c r="Q46" s="23">
        <v>0</v>
      </c>
      <c r="R46" s="25">
        <v>5</v>
      </c>
    </row>
    <row r="47" spans="1:18" x14ac:dyDescent="0.25">
      <c r="A47" s="43">
        <v>42180</v>
      </c>
      <c r="B47" s="43"/>
      <c r="C47" s="15" t="s">
        <v>103</v>
      </c>
      <c r="D47" s="44">
        <v>6</v>
      </c>
      <c r="E47" s="23">
        <v>10</v>
      </c>
      <c r="F47" s="38">
        <f t="shared" si="9"/>
        <v>0.6</v>
      </c>
      <c r="G47" s="23">
        <v>1</v>
      </c>
      <c r="H47" s="23">
        <v>2</v>
      </c>
      <c r="I47" s="38">
        <f t="shared" si="10"/>
        <v>0.5</v>
      </c>
      <c r="J47" s="23">
        <v>0</v>
      </c>
      <c r="K47" s="23">
        <v>0</v>
      </c>
      <c r="L47" s="19">
        <f t="shared" si="11"/>
        <v>0</v>
      </c>
      <c r="M47" s="23">
        <v>6</v>
      </c>
      <c r="N47" s="23">
        <v>1</v>
      </c>
      <c r="O47" s="23">
        <v>2</v>
      </c>
      <c r="P47" s="23">
        <v>1</v>
      </c>
      <c r="Q47" s="23">
        <v>3</v>
      </c>
      <c r="R47" s="25">
        <v>13</v>
      </c>
    </row>
    <row r="48" spans="1:18" x14ac:dyDescent="0.25">
      <c r="A48" s="43">
        <v>42180</v>
      </c>
      <c r="B48" s="43"/>
      <c r="C48" s="15" t="s">
        <v>59</v>
      </c>
      <c r="D48" s="44">
        <v>7</v>
      </c>
      <c r="E48" s="23">
        <v>15</v>
      </c>
      <c r="F48" s="38">
        <f t="shared" si="9"/>
        <v>0.46666666666666667</v>
      </c>
      <c r="G48" s="23">
        <v>0</v>
      </c>
      <c r="H48" s="23">
        <v>0</v>
      </c>
      <c r="I48" s="38">
        <f t="shared" si="10"/>
        <v>0</v>
      </c>
      <c r="J48" s="23">
        <v>2</v>
      </c>
      <c r="K48" s="23">
        <v>2</v>
      </c>
      <c r="L48" s="19">
        <f t="shared" si="11"/>
        <v>1</v>
      </c>
      <c r="M48" s="23">
        <v>3</v>
      </c>
      <c r="N48" s="23">
        <v>6</v>
      </c>
      <c r="O48" s="23">
        <v>0</v>
      </c>
      <c r="P48" s="23">
        <v>3</v>
      </c>
      <c r="Q48" s="23">
        <v>0</v>
      </c>
      <c r="R48" s="25">
        <v>16</v>
      </c>
    </row>
    <row r="49" spans="1:18" x14ac:dyDescent="0.25">
      <c r="A49" s="43">
        <v>42180</v>
      </c>
      <c r="B49" s="43"/>
      <c r="C49" s="15" t="s">
        <v>60</v>
      </c>
      <c r="D49" s="44">
        <v>3</v>
      </c>
      <c r="E49" s="23">
        <v>3</v>
      </c>
      <c r="F49" s="38">
        <f t="shared" si="9"/>
        <v>1</v>
      </c>
      <c r="G49" s="23">
        <v>0</v>
      </c>
      <c r="H49" s="23">
        <v>0</v>
      </c>
      <c r="I49" s="38">
        <f t="shared" si="10"/>
        <v>0</v>
      </c>
      <c r="J49" s="23">
        <v>4</v>
      </c>
      <c r="K49" s="23">
        <v>5</v>
      </c>
      <c r="L49" s="19">
        <f t="shared" si="11"/>
        <v>0.8</v>
      </c>
      <c r="M49" s="23">
        <v>6</v>
      </c>
      <c r="N49" s="23">
        <v>2</v>
      </c>
      <c r="O49" s="23">
        <v>0</v>
      </c>
      <c r="P49" s="23">
        <v>0</v>
      </c>
      <c r="Q49" s="23">
        <v>0</v>
      </c>
      <c r="R49" s="25">
        <v>10</v>
      </c>
    </row>
    <row r="50" spans="1:18" x14ac:dyDescent="0.25">
      <c r="A50" s="43">
        <v>42180</v>
      </c>
      <c r="B50" s="43"/>
      <c r="C50" s="15" t="s">
        <v>92</v>
      </c>
      <c r="D50" s="44">
        <v>2</v>
      </c>
      <c r="E50" s="23">
        <v>4</v>
      </c>
      <c r="F50" s="38">
        <f t="shared" si="9"/>
        <v>0.5</v>
      </c>
      <c r="G50" s="23">
        <v>0</v>
      </c>
      <c r="H50" s="23">
        <v>0</v>
      </c>
      <c r="I50" s="38">
        <f t="shared" si="10"/>
        <v>0</v>
      </c>
      <c r="J50" s="23">
        <v>0</v>
      </c>
      <c r="K50" s="23">
        <v>0</v>
      </c>
      <c r="L50" s="19">
        <f t="shared" si="11"/>
        <v>0</v>
      </c>
      <c r="M50" s="23">
        <v>4</v>
      </c>
      <c r="N50" s="23">
        <v>0</v>
      </c>
      <c r="O50" s="23">
        <v>0</v>
      </c>
      <c r="P50" s="23">
        <v>1</v>
      </c>
      <c r="Q50" s="23">
        <v>0</v>
      </c>
      <c r="R50" s="25">
        <v>4</v>
      </c>
    </row>
    <row r="51" spans="1:18" x14ac:dyDescent="0.25">
      <c r="A51" s="43">
        <v>42181</v>
      </c>
      <c r="B51" s="43"/>
      <c r="C51" s="15" t="s">
        <v>58</v>
      </c>
      <c r="D51" s="44">
        <v>6</v>
      </c>
      <c r="E51" s="23">
        <v>10</v>
      </c>
      <c r="F51" s="38">
        <f t="shared" si="9"/>
        <v>0.6</v>
      </c>
      <c r="G51" s="23">
        <v>0</v>
      </c>
      <c r="H51" s="23">
        <v>0</v>
      </c>
      <c r="I51" s="38">
        <f t="shared" si="10"/>
        <v>0</v>
      </c>
      <c r="J51" s="23">
        <v>2</v>
      </c>
      <c r="K51" s="23">
        <v>2</v>
      </c>
      <c r="L51" s="19">
        <f t="shared" si="11"/>
        <v>1</v>
      </c>
      <c r="M51" s="23">
        <v>7</v>
      </c>
      <c r="N51" s="23">
        <v>3</v>
      </c>
      <c r="O51" s="23">
        <v>3</v>
      </c>
      <c r="P51" s="23">
        <v>2</v>
      </c>
      <c r="Q51" s="23">
        <v>3</v>
      </c>
      <c r="R51" s="25">
        <v>14</v>
      </c>
    </row>
    <row r="52" spans="1:18" x14ac:dyDescent="0.25">
      <c r="A52" s="43">
        <v>42181</v>
      </c>
      <c r="B52" s="43"/>
      <c r="C52" s="15" t="s">
        <v>99</v>
      </c>
      <c r="D52" s="44">
        <v>1</v>
      </c>
      <c r="E52" s="23">
        <v>6</v>
      </c>
      <c r="F52" s="38">
        <f t="shared" si="9"/>
        <v>0.16666666666666666</v>
      </c>
      <c r="G52" s="23">
        <v>1</v>
      </c>
      <c r="H52" s="23">
        <v>1</v>
      </c>
      <c r="I52" s="38">
        <f t="shared" si="10"/>
        <v>1</v>
      </c>
      <c r="J52" s="23">
        <v>0</v>
      </c>
      <c r="K52" s="23">
        <v>0</v>
      </c>
      <c r="L52" s="19">
        <f t="shared" si="11"/>
        <v>0</v>
      </c>
      <c r="M52" s="23">
        <v>2</v>
      </c>
      <c r="N52" s="23">
        <v>4</v>
      </c>
      <c r="O52" s="23">
        <v>0</v>
      </c>
      <c r="P52" s="23">
        <v>2</v>
      </c>
      <c r="Q52" s="23">
        <v>1</v>
      </c>
      <c r="R52" s="25">
        <v>3</v>
      </c>
    </row>
    <row r="53" spans="1:18" x14ac:dyDescent="0.25">
      <c r="A53" s="43">
        <v>42181</v>
      </c>
      <c r="B53" s="43"/>
      <c r="C53" s="15" t="s">
        <v>111</v>
      </c>
      <c r="D53" s="44">
        <v>2</v>
      </c>
      <c r="E53" s="23">
        <v>4</v>
      </c>
      <c r="F53" s="38">
        <f t="shared" si="9"/>
        <v>0.5</v>
      </c>
      <c r="G53" s="23">
        <v>2</v>
      </c>
      <c r="H53" s="23">
        <v>4</v>
      </c>
      <c r="I53" s="38">
        <f t="shared" si="10"/>
        <v>0.5</v>
      </c>
      <c r="J53" s="23">
        <v>0</v>
      </c>
      <c r="K53" s="23">
        <v>0</v>
      </c>
      <c r="L53" s="19">
        <f t="shared" si="11"/>
        <v>0</v>
      </c>
      <c r="M53" s="23">
        <v>1</v>
      </c>
      <c r="N53" s="23">
        <v>0</v>
      </c>
      <c r="O53" s="23">
        <v>2</v>
      </c>
      <c r="P53" s="23">
        <v>0</v>
      </c>
      <c r="Q53" s="23">
        <v>0</v>
      </c>
      <c r="R53" s="25">
        <v>6</v>
      </c>
    </row>
    <row r="54" spans="1:18" x14ac:dyDescent="0.25">
      <c r="A54" s="43">
        <v>42182</v>
      </c>
      <c r="B54" s="43"/>
      <c r="C54" s="15" t="s">
        <v>92</v>
      </c>
      <c r="D54" s="44">
        <v>8</v>
      </c>
      <c r="E54" s="23">
        <v>9</v>
      </c>
      <c r="F54" s="38">
        <f t="shared" ref="F54:F74" si="12">IF(E54=0,0,D54/E54)</f>
        <v>0.88888888888888884</v>
      </c>
      <c r="G54" s="23">
        <v>0</v>
      </c>
      <c r="H54" s="23">
        <v>0</v>
      </c>
      <c r="I54" s="38">
        <f t="shared" ref="I54:I74" si="13">IF(H54=0,0,G54/H54)</f>
        <v>0</v>
      </c>
      <c r="J54" s="23">
        <v>2</v>
      </c>
      <c r="K54" s="23">
        <v>2</v>
      </c>
      <c r="L54" s="19">
        <f t="shared" ref="L54:L74" si="14">IF(K54=0,0,J54/K54)</f>
        <v>1</v>
      </c>
      <c r="M54" s="23">
        <v>9</v>
      </c>
      <c r="N54" s="23">
        <v>0</v>
      </c>
      <c r="O54" s="23">
        <v>3</v>
      </c>
      <c r="P54" s="23">
        <v>2</v>
      </c>
      <c r="Q54" s="23">
        <v>0</v>
      </c>
      <c r="R54" s="25">
        <v>18</v>
      </c>
    </row>
    <row r="55" spans="1:18" x14ac:dyDescent="0.25">
      <c r="A55" s="43">
        <v>42182</v>
      </c>
      <c r="B55" s="43"/>
      <c r="C55" s="15" t="s">
        <v>103</v>
      </c>
      <c r="D55" s="44">
        <v>1</v>
      </c>
      <c r="E55" s="23">
        <v>2</v>
      </c>
      <c r="F55" s="38">
        <f t="shared" si="12"/>
        <v>0.5</v>
      </c>
      <c r="G55" s="23">
        <v>0</v>
      </c>
      <c r="H55" s="23">
        <v>0</v>
      </c>
      <c r="I55" s="38">
        <f t="shared" si="13"/>
        <v>0</v>
      </c>
      <c r="J55" s="23">
        <v>0</v>
      </c>
      <c r="K55" s="23">
        <v>0</v>
      </c>
      <c r="L55" s="19">
        <f t="shared" si="14"/>
        <v>0</v>
      </c>
      <c r="M55" s="23">
        <v>2</v>
      </c>
      <c r="N55" s="23">
        <v>0</v>
      </c>
      <c r="O55" s="23">
        <v>0</v>
      </c>
      <c r="P55" s="23">
        <v>3</v>
      </c>
      <c r="Q55" s="23">
        <v>0</v>
      </c>
      <c r="R55" s="25">
        <v>2</v>
      </c>
    </row>
    <row r="56" spans="1:18" x14ac:dyDescent="0.25">
      <c r="A56" s="43">
        <v>42182</v>
      </c>
      <c r="B56" s="43"/>
      <c r="C56" s="15" t="s">
        <v>59</v>
      </c>
      <c r="D56" s="44">
        <v>8</v>
      </c>
      <c r="E56" s="23">
        <v>13</v>
      </c>
      <c r="F56" s="38">
        <f t="shared" si="12"/>
        <v>0.61538461538461542</v>
      </c>
      <c r="G56" s="23">
        <v>1</v>
      </c>
      <c r="H56" s="23">
        <v>2</v>
      </c>
      <c r="I56" s="38">
        <f t="shared" si="13"/>
        <v>0.5</v>
      </c>
      <c r="J56" s="23">
        <v>4</v>
      </c>
      <c r="K56" s="23">
        <v>4</v>
      </c>
      <c r="L56" s="19">
        <f t="shared" si="14"/>
        <v>1</v>
      </c>
      <c r="M56" s="23">
        <v>4</v>
      </c>
      <c r="N56" s="23">
        <v>3</v>
      </c>
      <c r="O56" s="23">
        <v>1</v>
      </c>
      <c r="P56" s="23">
        <v>1</v>
      </c>
      <c r="Q56" s="23">
        <v>0</v>
      </c>
      <c r="R56" s="25">
        <v>21</v>
      </c>
    </row>
    <row r="57" spans="1:18" x14ac:dyDescent="0.25">
      <c r="A57" s="43">
        <v>42182</v>
      </c>
      <c r="B57" s="43"/>
      <c r="C57" s="15" t="s">
        <v>60</v>
      </c>
      <c r="D57" s="44">
        <v>1</v>
      </c>
      <c r="E57" s="23">
        <v>3</v>
      </c>
      <c r="F57" s="38">
        <f t="shared" si="12"/>
        <v>0.33333333333333331</v>
      </c>
      <c r="G57" s="23">
        <v>0</v>
      </c>
      <c r="H57" s="23">
        <v>0</v>
      </c>
      <c r="I57" s="38">
        <f t="shared" si="13"/>
        <v>0</v>
      </c>
      <c r="J57" s="23">
        <v>0</v>
      </c>
      <c r="K57" s="23">
        <v>0</v>
      </c>
      <c r="L57" s="19">
        <f t="shared" si="14"/>
        <v>0</v>
      </c>
      <c r="M57" s="23">
        <v>2</v>
      </c>
      <c r="N57" s="23">
        <v>0</v>
      </c>
      <c r="O57" s="23">
        <v>0</v>
      </c>
      <c r="P57" s="23">
        <v>2</v>
      </c>
      <c r="Q57" s="23">
        <v>0</v>
      </c>
      <c r="R57" s="25">
        <v>2</v>
      </c>
    </row>
    <row r="58" spans="1:18" x14ac:dyDescent="0.25">
      <c r="A58" s="43">
        <v>42183</v>
      </c>
      <c r="B58" s="43"/>
      <c r="C58" s="15" t="s">
        <v>58</v>
      </c>
      <c r="D58" s="44">
        <v>10</v>
      </c>
      <c r="E58" s="23">
        <v>14</v>
      </c>
      <c r="F58" s="38">
        <f t="shared" si="12"/>
        <v>0.7142857142857143</v>
      </c>
      <c r="G58" s="23">
        <v>0</v>
      </c>
      <c r="H58" s="23">
        <v>1</v>
      </c>
      <c r="I58" s="38">
        <f t="shared" si="13"/>
        <v>0</v>
      </c>
      <c r="J58" s="23">
        <v>0</v>
      </c>
      <c r="K58" s="23">
        <v>0</v>
      </c>
      <c r="L58" s="19">
        <f t="shared" si="14"/>
        <v>0</v>
      </c>
      <c r="M58" s="23">
        <v>4</v>
      </c>
      <c r="N58" s="23">
        <v>2</v>
      </c>
      <c r="O58" s="23">
        <v>0</v>
      </c>
      <c r="P58" s="23">
        <v>2</v>
      </c>
      <c r="Q58" s="23">
        <v>1</v>
      </c>
      <c r="R58" s="25">
        <v>20</v>
      </c>
    </row>
    <row r="59" spans="1:18" x14ac:dyDescent="0.25">
      <c r="A59" s="43">
        <v>42183</v>
      </c>
      <c r="B59" s="43"/>
      <c r="C59" s="15" t="s">
        <v>99</v>
      </c>
      <c r="D59" s="44">
        <v>3</v>
      </c>
      <c r="E59" s="23">
        <v>8</v>
      </c>
      <c r="F59" s="38">
        <f t="shared" si="12"/>
        <v>0.375</v>
      </c>
      <c r="G59" s="23">
        <v>1</v>
      </c>
      <c r="H59" s="23">
        <v>3</v>
      </c>
      <c r="I59" s="38">
        <f t="shared" si="13"/>
        <v>0.33333333333333331</v>
      </c>
      <c r="J59" s="23">
        <v>0</v>
      </c>
      <c r="K59" s="23">
        <v>0</v>
      </c>
      <c r="L59" s="19">
        <f t="shared" si="14"/>
        <v>0</v>
      </c>
      <c r="M59" s="23">
        <v>3</v>
      </c>
      <c r="N59" s="23">
        <v>5</v>
      </c>
      <c r="O59" s="23">
        <v>1</v>
      </c>
      <c r="P59" s="23">
        <v>2</v>
      </c>
      <c r="Q59" s="23">
        <v>0</v>
      </c>
      <c r="R59" s="25">
        <v>7</v>
      </c>
    </row>
    <row r="60" spans="1:18" x14ac:dyDescent="0.25">
      <c r="A60" s="43">
        <v>42183</v>
      </c>
      <c r="B60" s="43"/>
      <c r="C60" s="15" t="s">
        <v>92</v>
      </c>
      <c r="D60" s="44">
        <v>6</v>
      </c>
      <c r="E60" s="23">
        <v>11</v>
      </c>
      <c r="F60" s="38">
        <f t="shared" si="12"/>
        <v>0.54545454545454541</v>
      </c>
      <c r="G60" s="23">
        <v>0</v>
      </c>
      <c r="H60" s="23">
        <v>0</v>
      </c>
      <c r="I60" s="38">
        <f t="shared" si="13"/>
        <v>0</v>
      </c>
      <c r="J60" s="23">
        <v>2</v>
      </c>
      <c r="K60" s="23">
        <v>2</v>
      </c>
      <c r="L60" s="19">
        <f t="shared" si="14"/>
        <v>1</v>
      </c>
      <c r="M60" s="23">
        <v>5</v>
      </c>
      <c r="N60" s="23">
        <v>1</v>
      </c>
      <c r="O60" s="23">
        <v>2</v>
      </c>
      <c r="P60" s="23">
        <v>2</v>
      </c>
      <c r="Q60" s="23">
        <v>1</v>
      </c>
      <c r="R60" s="25">
        <v>14</v>
      </c>
    </row>
    <row r="61" spans="1:18" x14ac:dyDescent="0.25">
      <c r="A61" s="43">
        <v>42183</v>
      </c>
      <c r="B61" s="43"/>
      <c r="C61" s="15" t="s">
        <v>111</v>
      </c>
      <c r="D61" s="44">
        <v>0</v>
      </c>
      <c r="E61" s="23">
        <v>2</v>
      </c>
      <c r="F61" s="38">
        <f t="shared" si="12"/>
        <v>0</v>
      </c>
      <c r="G61" s="23">
        <v>0</v>
      </c>
      <c r="H61" s="23">
        <v>2</v>
      </c>
      <c r="I61" s="38">
        <f t="shared" si="13"/>
        <v>0</v>
      </c>
      <c r="J61" s="23">
        <v>0</v>
      </c>
      <c r="K61" s="23">
        <v>0</v>
      </c>
      <c r="L61" s="19">
        <f t="shared" si="14"/>
        <v>0</v>
      </c>
      <c r="M61" s="23">
        <v>1</v>
      </c>
      <c r="N61" s="23">
        <v>0</v>
      </c>
      <c r="O61" s="23">
        <v>0</v>
      </c>
      <c r="P61" s="23">
        <v>0</v>
      </c>
      <c r="Q61" s="23">
        <v>0</v>
      </c>
      <c r="R61" s="25">
        <v>0</v>
      </c>
    </row>
    <row r="62" spans="1:18" x14ac:dyDescent="0.25">
      <c r="A62" s="43">
        <v>42185</v>
      </c>
      <c r="B62" s="43"/>
      <c r="C62" s="15" t="s">
        <v>111</v>
      </c>
      <c r="D62" s="44">
        <v>2</v>
      </c>
      <c r="E62" s="23">
        <v>8</v>
      </c>
      <c r="F62" s="38">
        <f t="shared" si="12"/>
        <v>0.25</v>
      </c>
      <c r="G62" s="23">
        <v>2</v>
      </c>
      <c r="H62" s="23">
        <v>6</v>
      </c>
      <c r="I62" s="38">
        <f t="shared" si="13"/>
        <v>0.33333333333333331</v>
      </c>
      <c r="J62" s="23">
        <v>0</v>
      </c>
      <c r="K62" s="23">
        <v>0</v>
      </c>
      <c r="L62" s="46">
        <f t="shared" si="14"/>
        <v>0</v>
      </c>
      <c r="M62" s="23">
        <v>4</v>
      </c>
      <c r="N62" s="23">
        <v>0</v>
      </c>
      <c r="O62" s="23">
        <v>0</v>
      </c>
      <c r="P62" s="23">
        <v>0</v>
      </c>
      <c r="Q62" s="23">
        <v>0</v>
      </c>
      <c r="R62" s="25">
        <v>6</v>
      </c>
    </row>
    <row r="63" spans="1:18" x14ac:dyDescent="0.25">
      <c r="A63" s="43">
        <v>42185</v>
      </c>
      <c r="B63" s="43"/>
      <c r="C63" s="15" t="s">
        <v>103</v>
      </c>
      <c r="D63" s="44">
        <v>3</v>
      </c>
      <c r="E63" s="23">
        <v>6</v>
      </c>
      <c r="F63" s="38">
        <f t="shared" si="12"/>
        <v>0.5</v>
      </c>
      <c r="G63" s="23">
        <v>0</v>
      </c>
      <c r="H63" s="23">
        <v>1</v>
      </c>
      <c r="I63" s="38">
        <f t="shared" si="13"/>
        <v>0</v>
      </c>
      <c r="J63" s="23">
        <v>0</v>
      </c>
      <c r="K63" s="23">
        <v>0</v>
      </c>
      <c r="L63" s="46">
        <f t="shared" si="14"/>
        <v>0</v>
      </c>
      <c r="M63" s="23">
        <v>1</v>
      </c>
      <c r="N63" s="23">
        <v>0</v>
      </c>
      <c r="O63" s="23">
        <v>0</v>
      </c>
      <c r="P63" s="23">
        <v>0</v>
      </c>
      <c r="Q63" s="23">
        <v>1</v>
      </c>
      <c r="R63" s="25">
        <v>6</v>
      </c>
    </row>
    <row r="64" spans="1:18" x14ac:dyDescent="0.25">
      <c r="A64" s="43">
        <v>42185</v>
      </c>
      <c r="B64" s="43"/>
      <c r="C64" s="15" t="s">
        <v>92</v>
      </c>
      <c r="D64" s="44">
        <v>7</v>
      </c>
      <c r="E64" s="23">
        <v>12</v>
      </c>
      <c r="F64" s="38">
        <f t="shared" si="12"/>
        <v>0.58333333333333337</v>
      </c>
      <c r="G64" s="23">
        <v>0</v>
      </c>
      <c r="H64" s="23">
        <v>0</v>
      </c>
      <c r="I64" s="38">
        <f t="shared" si="13"/>
        <v>0</v>
      </c>
      <c r="J64" s="23">
        <v>1</v>
      </c>
      <c r="K64" s="23">
        <v>3</v>
      </c>
      <c r="L64" s="46">
        <f t="shared" si="14"/>
        <v>0.33333333333333331</v>
      </c>
      <c r="M64" s="23">
        <v>6</v>
      </c>
      <c r="N64" s="23">
        <v>2</v>
      </c>
      <c r="O64" s="23">
        <v>2</v>
      </c>
      <c r="P64" s="23">
        <v>1</v>
      </c>
      <c r="Q64" s="23">
        <v>0</v>
      </c>
      <c r="R64" s="25">
        <v>15</v>
      </c>
    </row>
    <row r="65" spans="1:18" x14ac:dyDescent="0.25">
      <c r="A65" s="43">
        <v>42187</v>
      </c>
      <c r="B65" s="43"/>
      <c r="C65" s="15" t="s">
        <v>58</v>
      </c>
      <c r="D65" s="44">
        <v>4</v>
      </c>
      <c r="E65" s="23">
        <v>9</v>
      </c>
      <c r="F65" s="38">
        <f t="shared" si="12"/>
        <v>0.44444444444444442</v>
      </c>
      <c r="G65" s="23">
        <v>0</v>
      </c>
      <c r="H65" s="23">
        <v>0</v>
      </c>
      <c r="I65" s="38">
        <f t="shared" si="13"/>
        <v>0</v>
      </c>
      <c r="J65" s="23">
        <v>1</v>
      </c>
      <c r="K65" s="23">
        <v>2</v>
      </c>
      <c r="L65" s="46">
        <f t="shared" si="14"/>
        <v>0.5</v>
      </c>
      <c r="M65" s="23">
        <v>9</v>
      </c>
      <c r="N65" s="23">
        <v>0</v>
      </c>
      <c r="O65" s="23">
        <v>2</v>
      </c>
      <c r="P65" s="23">
        <v>1</v>
      </c>
      <c r="Q65" s="23">
        <v>0</v>
      </c>
      <c r="R65" s="25">
        <v>9</v>
      </c>
    </row>
    <row r="66" spans="1:18" x14ac:dyDescent="0.25">
      <c r="A66" s="43">
        <v>42187</v>
      </c>
      <c r="B66" s="43"/>
      <c r="C66" s="15" t="s">
        <v>99</v>
      </c>
      <c r="D66" s="44">
        <v>2</v>
      </c>
      <c r="E66" s="23">
        <v>9</v>
      </c>
      <c r="F66" s="38">
        <f t="shared" si="12"/>
        <v>0.22222222222222221</v>
      </c>
      <c r="G66" s="23">
        <v>1</v>
      </c>
      <c r="H66" s="23">
        <v>6</v>
      </c>
      <c r="I66" s="38">
        <f t="shared" si="13"/>
        <v>0.16666666666666666</v>
      </c>
      <c r="J66" s="23">
        <v>0</v>
      </c>
      <c r="K66" s="23">
        <v>0</v>
      </c>
      <c r="L66" s="46">
        <f t="shared" si="14"/>
        <v>0</v>
      </c>
      <c r="M66" s="23">
        <v>0</v>
      </c>
      <c r="N66" s="23">
        <v>3</v>
      </c>
      <c r="O66" s="23">
        <v>0</v>
      </c>
      <c r="P66" s="23">
        <v>2</v>
      </c>
      <c r="Q66" s="23">
        <v>0</v>
      </c>
      <c r="R66" s="25">
        <v>5</v>
      </c>
    </row>
    <row r="67" spans="1:18" x14ac:dyDescent="0.25">
      <c r="A67" s="43">
        <v>42187</v>
      </c>
      <c r="B67" s="43"/>
      <c r="C67" s="15" t="s">
        <v>111</v>
      </c>
      <c r="D67" s="44">
        <v>2</v>
      </c>
      <c r="E67" s="23">
        <v>7</v>
      </c>
      <c r="F67" s="38">
        <f t="shared" si="12"/>
        <v>0.2857142857142857</v>
      </c>
      <c r="G67" s="23">
        <v>1</v>
      </c>
      <c r="H67" s="23">
        <v>5</v>
      </c>
      <c r="I67" s="38">
        <f t="shared" si="13"/>
        <v>0.2</v>
      </c>
      <c r="J67" s="23">
        <v>2</v>
      </c>
      <c r="K67" s="23">
        <v>2</v>
      </c>
      <c r="L67" s="46">
        <f t="shared" si="14"/>
        <v>1</v>
      </c>
      <c r="M67" s="23">
        <v>4</v>
      </c>
      <c r="N67" s="23">
        <v>0</v>
      </c>
      <c r="O67" s="23">
        <v>0</v>
      </c>
      <c r="P67" s="23">
        <v>0</v>
      </c>
      <c r="Q67" s="23">
        <v>0</v>
      </c>
      <c r="R67" s="25">
        <v>7</v>
      </c>
    </row>
    <row r="68" spans="1:18" x14ac:dyDescent="0.25">
      <c r="A68" s="43">
        <v>42187</v>
      </c>
      <c r="B68" s="43"/>
      <c r="C68" s="15" t="s">
        <v>103</v>
      </c>
      <c r="D68" s="44">
        <v>2</v>
      </c>
      <c r="E68" s="23">
        <v>4</v>
      </c>
      <c r="F68" s="38">
        <f t="shared" si="12"/>
        <v>0.5</v>
      </c>
      <c r="G68" s="23">
        <v>0</v>
      </c>
      <c r="H68" s="23">
        <v>1</v>
      </c>
      <c r="I68" s="38">
        <f t="shared" si="13"/>
        <v>0</v>
      </c>
      <c r="J68" s="23">
        <v>0</v>
      </c>
      <c r="K68" s="23">
        <v>0</v>
      </c>
      <c r="L68" s="46">
        <f t="shared" si="14"/>
        <v>0</v>
      </c>
      <c r="M68" s="23">
        <v>2</v>
      </c>
      <c r="N68" s="23">
        <v>0</v>
      </c>
      <c r="O68" s="23">
        <v>2</v>
      </c>
      <c r="P68" s="23">
        <v>3</v>
      </c>
      <c r="Q68" s="23">
        <v>2</v>
      </c>
      <c r="R68" s="25">
        <v>4</v>
      </c>
    </row>
    <row r="69" spans="1:18" x14ac:dyDescent="0.25">
      <c r="A69" s="43">
        <v>42188</v>
      </c>
      <c r="B69" s="43"/>
      <c r="C69" s="15" t="s">
        <v>59</v>
      </c>
      <c r="D69" s="44">
        <v>7</v>
      </c>
      <c r="E69" s="23">
        <v>11</v>
      </c>
      <c r="F69" s="38">
        <f t="shared" si="12"/>
        <v>0.63636363636363635</v>
      </c>
      <c r="G69" s="23">
        <v>0</v>
      </c>
      <c r="H69" s="23">
        <v>0</v>
      </c>
      <c r="I69" s="38">
        <f t="shared" si="13"/>
        <v>0</v>
      </c>
      <c r="J69" s="23">
        <v>2</v>
      </c>
      <c r="K69" s="23">
        <v>2</v>
      </c>
      <c r="L69" s="46">
        <f t="shared" si="14"/>
        <v>1</v>
      </c>
      <c r="M69" s="23">
        <v>4</v>
      </c>
      <c r="N69" s="23">
        <v>4</v>
      </c>
      <c r="O69" s="23">
        <v>0</v>
      </c>
      <c r="P69" s="23">
        <v>1</v>
      </c>
      <c r="Q69" s="23">
        <v>1</v>
      </c>
      <c r="R69" s="25">
        <v>16</v>
      </c>
    </row>
    <row r="70" spans="1:18" x14ac:dyDescent="0.25">
      <c r="A70" s="43">
        <v>42188</v>
      </c>
      <c r="B70" s="43"/>
      <c r="C70" s="15" t="s">
        <v>60</v>
      </c>
      <c r="D70" s="44">
        <v>3</v>
      </c>
      <c r="E70" s="23">
        <v>4</v>
      </c>
      <c r="F70" s="38">
        <f t="shared" si="12"/>
        <v>0.75</v>
      </c>
      <c r="G70" s="23">
        <v>1</v>
      </c>
      <c r="H70" s="23">
        <v>1</v>
      </c>
      <c r="I70" s="38">
        <f t="shared" si="13"/>
        <v>1</v>
      </c>
      <c r="J70" s="23">
        <v>2</v>
      </c>
      <c r="K70" s="23">
        <v>2</v>
      </c>
      <c r="L70" s="46">
        <f t="shared" si="14"/>
        <v>1</v>
      </c>
      <c r="M70" s="23">
        <v>3</v>
      </c>
      <c r="N70" s="23">
        <v>1</v>
      </c>
      <c r="O70" s="23">
        <v>1</v>
      </c>
      <c r="P70" s="23">
        <v>0</v>
      </c>
      <c r="Q70" s="23">
        <v>0</v>
      </c>
      <c r="R70" s="25">
        <v>9</v>
      </c>
    </row>
    <row r="71" spans="1:18" x14ac:dyDescent="0.25">
      <c r="A71" s="43">
        <v>42188</v>
      </c>
      <c r="B71" s="43"/>
      <c r="C71" s="15" t="s">
        <v>111</v>
      </c>
      <c r="D71" s="44">
        <v>5</v>
      </c>
      <c r="E71" s="23">
        <v>7</v>
      </c>
      <c r="F71" s="38">
        <f t="shared" si="12"/>
        <v>0.7142857142857143</v>
      </c>
      <c r="G71" s="23">
        <v>4</v>
      </c>
      <c r="H71" s="23">
        <v>6</v>
      </c>
      <c r="I71" s="38">
        <f t="shared" si="13"/>
        <v>0.66666666666666663</v>
      </c>
      <c r="J71" s="23">
        <v>0</v>
      </c>
      <c r="K71" s="23">
        <v>0</v>
      </c>
      <c r="L71" s="46">
        <f t="shared" si="14"/>
        <v>0</v>
      </c>
      <c r="M71" s="23">
        <v>4</v>
      </c>
      <c r="N71" s="23">
        <v>0</v>
      </c>
      <c r="O71" s="23">
        <v>0</v>
      </c>
      <c r="P71" s="23">
        <v>2</v>
      </c>
      <c r="Q71" s="23">
        <v>1</v>
      </c>
      <c r="R71" s="25">
        <v>14</v>
      </c>
    </row>
    <row r="72" spans="1:18" x14ac:dyDescent="0.25">
      <c r="A72" s="43">
        <v>42188</v>
      </c>
      <c r="B72" s="43"/>
      <c r="C72" s="15" t="s">
        <v>92</v>
      </c>
      <c r="D72" s="44">
        <v>5</v>
      </c>
      <c r="E72" s="23">
        <v>9</v>
      </c>
      <c r="F72" s="38">
        <f t="shared" si="12"/>
        <v>0.55555555555555558</v>
      </c>
      <c r="G72" s="23">
        <v>0</v>
      </c>
      <c r="H72" s="23">
        <v>0</v>
      </c>
      <c r="I72" s="38">
        <f t="shared" si="13"/>
        <v>0</v>
      </c>
      <c r="J72" s="23">
        <v>0</v>
      </c>
      <c r="K72" s="23">
        <v>0</v>
      </c>
      <c r="L72" s="46">
        <f t="shared" si="14"/>
        <v>0</v>
      </c>
      <c r="M72" s="23">
        <v>8</v>
      </c>
      <c r="N72" s="23">
        <v>3</v>
      </c>
      <c r="O72" s="23">
        <v>0</v>
      </c>
      <c r="P72" s="23">
        <v>2</v>
      </c>
      <c r="Q72" s="23">
        <v>1</v>
      </c>
      <c r="R72" s="25">
        <v>10</v>
      </c>
    </row>
    <row r="73" spans="1:18" x14ac:dyDescent="0.25">
      <c r="A73" s="43">
        <v>42190</v>
      </c>
      <c r="B73" s="43"/>
      <c r="C73" s="15" t="s">
        <v>92</v>
      </c>
      <c r="D73" s="44">
        <v>2</v>
      </c>
      <c r="E73" s="23">
        <v>6</v>
      </c>
      <c r="F73" s="38">
        <f t="shared" si="12"/>
        <v>0.33333333333333331</v>
      </c>
      <c r="G73" s="23">
        <v>0</v>
      </c>
      <c r="H73" s="23">
        <v>0</v>
      </c>
      <c r="I73" s="38">
        <f t="shared" si="13"/>
        <v>0</v>
      </c>
      <c r="J73" s="23">
        <v>1</v>
      </c>
      <c r="K73" s="23">
        <v>2</v>
      </c>
      <c r="L73" s="46">
        <f t="shared" si="14"/>
        <v>0.5</v>
      </c>
      <c r="M73" s="23">
        <v>8</v>
      </c>
      <c r="N73" s="23">
        <v>2</v>
      </c>
      <c r="O73" s="23">
        <v>1</v>
      </c>
      <c r="P73" s="23">
        <v>2</v>
      </c>
      <c r="Q73" s="23">
        <v>1</v>
      </c>
      <c r="R73" s="25">
        <v>5</v>
      </c>
    </row>
    <row r="74" spans="1:18" x14ac:dyDescent="0.25">
      <c r="A74" s="43">
        <v>42190</v>
      </c>
      <c r="B74" s="43"/>
      <c r="C74" s="15" t="s">
        <v>103</v>
      </c>
      <c r="D74" s="44">
        <v>0</v>
      </c>
      <c r="E74" s="23">
        <v>0</v>
      </c>
      <c r="F74" s="38">
        <f t="shared" si="12"/>
        <v>0</v>
      </c>
      <c r="G74" s="23">
        <v>0</v>
      </c>
      <c r="H74" s="23">
        <v>0</v>
      </c>
      <c r="I74" s="38">
        <f t="shared" si="13"/>
        <v>0</v>
      </c>
      <c r="J74" s="23">
        <v>0</v>
      </c>
      <c r="K74" s="23">
        <v>0</v>
      </c>
      <c r="L74" s="46">
        <f t="shared" si="14"/>
        <v>0</v>
      </c>
      <c r="M74" s="23">
        <v>1</v>
      </c>
      <c r="N74" s="23">
        <v>0</v>
      </c>
      <c r="O74" s="23">
        <v>0</v>
      </c>
      <c r="P74" s="23">
        <v>0</v>
      </c>
      <c r="Q74" s="23">
        <v>0</v>
      </c>
      <c r="R74" s="25">
        <v>0</v>
      </c>
    </row>
    <row r="75" spans="1:18" x14ac:dyDescent="0.25">
      <c r="A75" s="21">
        <v>42193</v>
      </c>
      <c r="B75" s="20"/>
      <c r="C75" s="15" t="s">
        <v>92</v>
      </c>
      <c r="D75" s="16">
        <v>4</v>
      </c>
      <c r="E75" s="16">
        <v>4</v>
      </c>
      <c r="F75" s="51">
        <f t="shared" ref="F75:F81" si="15">IF(E75=0,0,D75/E75)</f>
        <v>1</v>
      </c>
      <c r="G75" s="16">
        <v>0</v>
      </c>
      <c r="H75" s="16">
        <v>0</v>
      </c>
      <c r="I75" s="51">
        <f t="shared" ref="I75:I81" si="16">IF(H75=0,0,G75/H75)</f>
        <v>0</v>
      </c>
      <c r="J75" s="16">
        <v>0</v>
      </c>
      <c r="K75" s="16">
        <v>0</v>
      </c>
      <c r="L75" s="51">
        <f t="shared" ref="L75:L81" si="17">IF(K75=0,0,J75/K75)</f>
        <v>0</v>
      </c>
      <c r="M75" s="16">
        <v>2</v>
      </c>
      <c r="N75" s="16">
        <v>1</v>
      </c>
      <c r="O75" s="16">
        <v>1</v>
      </c>
      <c r="P75" s="16">
        <v>1</v>
      </c>
      <c r="Q75" s="16">
        <v>0</v>
      </c>
      <c r="R75" s="16">
        <v>8</v>
      </c>
    </row>
    <row r="76" spans="1:18" x14ac:dyDescent="0.25">
      <c r="A76" s="21">
        <v>42194</v>
      </c>
      <c r="B76" s="20"/>
      <c r="C76" s="15" t="s">
        <v>58</v>
      </c>
      <c r="D76" s="16">
        <v>3</v>
      </c>
      <c r="E76" s="16">
        <v>10</v>
      </c>
      <c r="F76" s="51">
        <f t="shared" si="15"/>
        <v>0.3</v>
      </c>
      <c r="G76" s="16">
        <v>0</v>
      </c>
      <c r="H76" s="16">
        <v>0</v>
      </c>
      <c r="I76" s="51">
        <f t="shared" si="16"/>
        <v>0</v>
      </c>
      <c r="J76" s="16">
        <v>2</v>
      </c>
      <c r="K76" s="16">
        <v>2</v>
      </c>
      <c r="L76" s="51">
        <f t="shared" si="17"/>
        <v>1</v>
      </c>
      <c r="M76" s="16">
        <v>6</v>
      </c>
      <c r="N76" s="16">
        <v>2</v>
      </c>
      <c r="O76" s="16">
        <v>1</v>
      </c>
      <c r="P76" s="16">
        <v>0</v>
      </c>
      <c r="Q76" s="16">
        <v>1</v>
      </c>
      <c r="R76" s="16">
        <v>8</v>
      </c>
    </row>
    <row r="77" spans="1:18" x14ac:dyDescent="0.25">
      <c r="A77" s="21">
        <v>42194</v>
      </c>
      <c r="B77" s="20"/>
      <c r="C77" s="15" t="s">
        <v>99</v>
      </c>
      <c r="D77" s="16">
        <v>4</v>
      </c>
      <c r="E77" s="16">
        <v>12</v>
      </c>
      <c r="F77" s="51">
        <f t="shared" si="15"/>
        <v>0.33333333333333331</v>
      </c>
      <c r="G77" s="16">
        <v>1</v>
      </c>
      <c r="H77" s="16">
        <v>7</v>
      </c>
      <c r="I77" s="51">
        <f t="shared" si="16"/>
        <v>0.14285714285714285</v>
      </c>
      <c r="J77" s="16">
        <v>5</v>
      </c>
      <c r="K77" s="16">
        <v>5</v>
      </c>
      <c r="L77" s="51">
        <f t="shared" si="17"/>
        <v>1</v>
      </c>
      <c r="M77" s="16">
        <v>3</v>
      </c>
      <c r="N77" s="16">
        <v>5</v>
      </c>
      <c r="O77" s="16">
        <v>0</v>
      </c>
      <c r="P77" s="16">
        <v>0</v>
      </c>
      <c r="Q77" s="16">
        <v>0</v>
      </c>
      <c r="R77" s="16">
        <v>14</v>
      </c>
    </row>
    <row r="78" spans="1:18" x14ac:dyDescent="0.25">
      <c r="A78" s="43">
        <v>42195</v>
      </c>
      <c r="B78" s="43"/>
      <c r="C78" s="15" t="s">
        <v>59</v>
      </c>
      <c r="D78" s="44">
        <v>6</v>
      </c>
      <c r="E78" s="23">
        <v>14</v>
      </c>
      <c r="F78" s="38">
        <f t="shared" si="15"/>
        <v>0.42857142857142855</v>
      </c>
      <c r="G78" s="23">
        <v>0</v>
      </c>
      <c r="H78" s="23">
        <v>0</v>
      </c>
      <c r="I78" s="38">
        <f t="shared" si="16"/>
        <v>0</v>
      </c>
      <c r="J78" s="23">
        <v>3</v>
      </c>
      <c r="K78" s="23">
        <v>5</v>
      </c>
      <c r="L78" s="51">
        <f t="shared" si="17"/>
        <v>0.6</v>
      </c>
      <c r="M78" s="23">
        <v>3</v>
      </c>
      <c r="N78" s="23">
        <v>7</v>
      </c>
      <c r="O78" s="23">
        <v>1</v>
      </c>
      <c r="P78" s="23">
        <v>1</v>
      </c>
      <c r="Q78" s="23">
        <v>0</v>
      </c>
      <c r="R78" s="25">
        <v>15</v>
      </c>
    </row>
    <row r="79" spans="1:18" x14ac:dyDescent="0.25">
      <c r="A79" s="43">
        <v>42195</v>
      </c>
      <c r="B79" s="43"/>
      <c r="C79" s="15" t="s">
        <v>60</v>
      </c>
      <c r="D79" s="44">
        <v>0</v>
      </c>
      <c r="E79" s="23">
        <v>4</v>
      </c>
      <c r="F79" s="38">
        <f t="shared" si="15"/>
        <v>0</v>
      </c>
      <c r="G79" s="23">
        <v>0</v>
      </c>
      <c r="H79" s="23">
        <v>0</v>
      </c>
      <c r="I79" s="38">
        <f t="shared" si="16"/>
        <v>0</v>
      </c>
      <c r="J79" s="23">
        <v>0</v>
      </c>
      <c r="K79" s="23">
        <v>0</v>
      </c>
      <c r="L79" s="51">
        <f t="shared" si="17"/>
        <v>0</v>
      </c>
      <c r="M79" s="23">
        <v>0</v>
      </c>
      <c r="N79" s="23">
        <v>2</v>
      </c>
      <c r="O79" s="23">
        <v>0</v>
      </c>
      <c r="P79" s="23">
        <v>0</v>
      </c>
      <c r="Q79" s="23">
        <v>1</v>
      </c>
      <c r="R79" s="25">
        <v>0</v>
      </c>
    </row>
    <row r="80" spans="1:18" x14ac:dyDescent="0.25">
      <c r="A80" s="43">
        <v>42195</v>
      </c>
      <c r="B80" s="43"/>
      <c r="C80" s="15" t="s">
        <v>103</v>
      </c>
      <c r="D80" s="44">
        <v>3</v>
      </c>
      <c r="E80" s="23">
        <v>7</v>
      </c>
      <c r="F80" s="38">
        <f t="shared" si="15"/>
        <v>0.42857142857142855</v>
      </c>
      <c r="G80" s="23">
        <v>2</v>
      </c>
      <c r="H80" s="23">
        <v>3</v>
      </c>
      <c r="I80" s="38">
        <f t="shared" si="16"/>
        <v>0.66666666666666663</v>
      </c>
      <c r="J80" s="23">
        <v>0</v>
      </c>
      <c r="K80" s="23">
        <v>0</v>
      </c>
      <c r="L80" s="51">
        <f t="shared" si="17"/>
        <v>0</v>
      </c>
      <c r="M80" s="23">
        <v>5</v>
      </c>
      <c r="N80" s="23">
        <v>1</v>
      </c>
      <c r="O80" s="23">
        <v>1</v>
      </c>
      <c r="P80" s="23">
        <v>0</v>
      </c>
      <c r="Q80" s="23">
        <v>1</v>
      </c>
      <c r="R80" s="25">
        <v>8</v>
      </c>
    </row>
    <row r="81" spans="1:18" x14ac:dyDescent="0.25">
      <c r="A81" s="43">
        <v>42195</v>
      </c>
      <c r="B81" s="43"/>
      <c r="C81" s="15" t="s">
        <v>92</v>
      </c>
      <c r="D81" s="44">
        <v>2</v>
      </c>
      <c r="E81" s="23">
        <v>8</v>
      </c>
      <c r="F81" s="38">
        <f t="shared" si="15"/>
        <v>0.25</v>
      </c>
      <c r="G81" s="23">
        <v>0</v>
      </c>
      <c r="H81" s="23">
        <v>0</v>
      </c>
      <c r="I81" s="38">
        <f t="shared" si="16"/>
        <v>0</v>
      </c>
      <c r="J81" s="23">
        <v>3</v>
      </c>
      <c r="K81" s="23">
        <v>3</v>
      </c>
      <c r="L81" s="51">
        <f t="shared" si="17"/>
        <v>1</v>
      </c>
      <c r="M81" s="23">
        <v>4</v>
      </c>
      <c r="N81" s="23">
        <v>1</v>
      </c>
      <c r="O81" s="23">
        <v>0</v>
      </c>
      <c r="P81" s="23">
        <v>3</v>
      </c>
      <c r="Q81" s="23">
        <v>0</v>
      </c>
      <c r="R81" s="25">
        <v>7</v>
      </c>
    </row>
    <row r="82" spans="1:18" x14ac:dyDescent="0.25">
      <c r="A82" s="43">
        <v>42196</v>
      </c>
      <c r="B82" s="43"/>
      <c r="C82" s="15" t="s">
        <v>111</v>
      </c>
      <c r="D82" s="44">
        <v>1</v>
      </c>
      <c r="E82" s="23">
        <v>2</v>
      </c>
      <c r="F82" s="38">
        <f t="shared" ref="F82:F106" si="18">IF(E82=0,0,D82/E82)</f>
        <v>0.5</v>
      </c>
      <c r="G82" s="23">
        <v>1</v>
      </c>
      <c r="H82" s="23">
        <v>2</v>
      </c>
      <c r="I82" s="38">
        <f t="shared" ref="I82:I106" si="19">IF(H82=0,0,G82/H82)</f>
        <v>0.5</v>
      </c>
      <c r="J82" s="23">
        <v>0</v>
      </c>
      <c r="K82" s="23">
        <v>0</v>
      </c>
      <c r="L82" s="55">
        <f t="shared" ref="L82:L106" si="20">IF(K82=0,0,J82/K82)</f>
        <v>0</v>
      </c>
      <c r="M82" s="23">
        <v>4</v>
      </c>
      <c r="N82" s="23">
        <v>1</v>
      </c>
      <c r="O82" s="23">
        <v>0</v>
      </c>
      <c r="P82" s="23">
        <v>1</v>
      </c>
      <c r="Q82" s="23">
        <v>1</v>
      </c>
      <c r="R82" s="25">
        <v>3</v>
      </c>
    </row>
    <row r="83" spans="1:18" x14ac:dyDescent="0.25">
      <c r="A83" s="43">
        <v>42197</v>
      </c>
      <c r="B83" s="43"/>
      <c r="C83" s="15" t="s">
        <v>59</v>
      </c>
      <c r="D83" s="44">
        <v>1</v>
      </c>
      <c r="E83" s="23">
        <v>4</v>
      </c>
      <c r="F83" s="38">
        <f t="shared" si="18"/>
        <v>0.25</v>
      </c>
      <c r="G83" s="23">
        <v>0</v>
      </c>
      <c r="H83" s="23">
        <v>0</v>
      </c>
      <c r="I83" s="38">
        <f t="shared" si="19"/>
        <v>0</v>
      </c>
      <c r="J83" s="23">
        <v>0</v>
      </c>
      <c r="K83" s="23">
        <v>0</v>
      </c>
      <c r="L83" s="55">
        <f t="shared" si="20"/>
        <v>0</v>
      </c>
      <c r="M83" s="23">
        <v>0</v>
      </c>
      <c r="N83" s="23">
        <v>5</v>
      </c>
      <c r="O83" s="23">
        <v>0</v>
      </c>
      <c r="P83" s="23">
        <v>2</v>
      </c>
      <c r="Q83" s="23">
        <v>0</v>
      </c>
      <c r="R83" s="25">
        <v>2</v>
      </c>
    </row>
    <row r="84" spans="1:18" x14ac:dyDescent="0.25">
      <c r="A84" s="43">
        <v>42197</v>
      </c>
      <c r="B84" s="43"/>
      <c r="C84" s="15" t="s">
        <v>60</v>
      </c>
      <c r="D84" s="44">
        <v>4</v>
      </c>
      <c r="E84" s="23">
        <v>6</v>
      </c>
      <c r="F84" s="38">
        <f t="shared" si="18"/>
        <v>0.66666666666666663</v>
      </c>
      <c r="G84" s="23">
        <v>1</v>
      </c>
      <c r="H84" s="23">
        <v>2</v>
      </c>
      <c r="I84" s="38">
        <f t="shared" si="19"/>
        <v>0.5</v>
      </c>
      <c r="J84" s="23">
        <v>0</v>
      </c>
      <c r="K84" s="23">
        <v>1</v>
      </c>
      <c r="L84" s="55">
        <f t="shared" si="20"/>
        <v>0</v>
      </c>
      <c r="M84" s="23">
        <v>4</v>
      </c>
      <c r="N84" s="23">
        <v>1</v>
      </c>
      <c r="O84" s="23">
        <v>0</v>
      </c>
      <c r="P84" s="23">
        <v>0</v>
      </c>
      <c r="Q84" s="23">
        <v>0</v>
      </c>
      <c r="R84" s="25">
        <v>9</v>
      </c>
    </row>
    <row r="85" spans="1:18" x14ac:dyDescent="0.25">
      <c r="A85" s="43">
        <v>42197</v>
      </c>
      <c r="B85" s="43"/>
      <c r="C85" s="15" t="s">
        <v>103</v>
      </c>
      <c r="D85" s="44">
        <v>2</v>
      </c>
      <c r="E85" s="23">
        <v>5</v>
      </c>
      <c r="F85" s="38">
        <f t="shared" si="18"/>
        <v>0.4</v>
      </c>
      <c r="G85" s="23">
        <v>1</v>
      </c>
      <c r="H85" s="23">
        <v>2</v>
      </c>
      <c r="I85" s="38">
        <f t="shared" si="19"/>
        <v>0.5</v>
      </c>
      <c r="J85" s="23">
        <v>0</v>
      </c>
      <c r="K85" s="23">
        <v>0</v>
      </c>
      <c r="L85" s="55">
        <f t="shared" si="20"/>
        <v>0</v>
      </c>
      <c r="M85" s="23">
        <v>2</v>
      </c>
      <c r="N85" s="23">
        <v>2</v>
      </c>
      <c r="O85" s="23">
        <v>0</v>
      </c>
      <c r="P85" s="23">
        <v>0</v>
      </c>
      <c r="Q85" s="23">
        <v>2</v>
      </c>
      <c r="R85" s="25">
        <v>5</v>
      </c>
    </row>
    <row r="86" spans="1:18" x14ac:dyDescent="0.25">
      <c r="A86" s="43">
        <v>42197</v>
      </c>
      <c r="B86" s="43"/>
      <c r="C86" s="15" t="s">
        <v>92</v>
      </c>
      <c r="D86" s="44">
        <v>2</v>
      </c>
      <c r="E86" s="23">
        <v>3</v>
      </c>
      <c r="F86" s="38">
        <f t="shared" si="18"/>
        <v>0.66666666666666663</v>
      </c>
      <c r="G86" s="23">
        <v>0</v>
      </c>
      <c r="H86" s="23">
        <v>0</v>
      </c>
      <c r="I86" s="38">
        <f t="shared" si="19"/>
        <v>0</v>
      </c>
      <c r="J86" s="23">
        <v>0</v>
      </c>
      <c r="K86" s="23">
        <v>0</v>
      </c>
      <c r="L86" s="55">
        <f t="shared" si="20"/>
        <v>0</v>
      </c>
      <c r="M86" s="23">
        <v>2</v>
      </c>
      <c r="N86" s="23">
        <v>3</v>
      </c>
      <c r="O86" s="23">
        <v>1</v>
      </c>
      <c r="P86" s="23">
        <v>2</v>
      </c>
      <c r="Q86" s="23">
        <v>0</v>
      </c>
      <c r="R86" s="25">
        <v>4</v>
      </c>
    </row>
    <row r="87" spans="1:18" x14ac:dyDescent="0.25">
      <c r="A87" s="43">
        <v>42199</v>
      </c>
      <c r="B87" s="43"/>
      <c r="C87" s="15" t="s">
        <v>59</v>
      </c>
      <c r="D87" s="44">
        <v>4</v>
      </c>
      <c r="E87" s="23">
        <v>7</v>
      </c>
      <c r="F87" s="38">
        <f t="shared" si="18"/>
        <v>0.5714285714285714</v>
      </c>
      <c r="G87" s="23">
        <v>0</v>
      </c>
      <c r="H87" s="23">
        <v>0</v>
      </c>
      <c r="I87" s="38">
        <f t="shared" si="19"/>
        <v>0</v>
      </c>
      <c r="J87" s="23">
        <v>1</v>
      </c>
      <c r="K87" s="23">
        <v>2</v>
      </c>
      <c r="L87" s="56">
        <f t="shared" si="20"/>
        <v>0.5</v>
      </c>
      <c r="M87" s="23">
        <v>2</v>
      </c>
      <c r="N87" s="23">
        <v>6</v>
      </c>
      <c r="O87" s="23">
        <v>2</v>
      </c>
      <c r="P87" s="23">
        <v>3</v>
      </c>
      <c r="Q87" s="23">
        <v>0</v>
      </c>
      <c r="R87" s="25">
        <v>9</v>
      </c>
    </row>
    <row r="88" spans="1:18" x14ac:dyDescent="0.25">
      <c r="A88" s="43">
        <v>42199</v>
      </c>
      <c r="B88" s="43"/>
      <c r="C88" s="15" t="s">
        <v>60</v>
      </c>
      <c r="D88" s="44">
        <v>3</v>
      </c>
      <c r="E88" s="23">
        <v>5</v>
      </c>
      <c r="F88" s="38">
        <f t="shared" si="18"/>
        <v>0.6</v>
      </c>
      <c r="G88" s="23">
        <v>0</v>
      </c>
      <c r="H88" s="23">
        <v>0</v>
      </c>
      <c r="I88" s="38">
        <f t="shared" si="19"/>
        <v>0</v>
      </c>
      <c r="J88" s="23">
        <v>0</v>
      </c>
      <c r="K88" s="23">
        <v>0</v>
      </c>
      <c r="L88" s="56">
        <f t="shared" si="20"/>
        <v>0</v>
      </c>
      <c r="M88" s="23">
        <v>3</v>
      </c>
      <c r="N88" s="23">
        <v>2</v>
      </c>
      <c r="O88" s="23">
        <v>0</v>
      </c>
      <c r="P88" s="23">
        <v>1</v>
      </c>
      <c r="Q88" s="23">
        <v>0</v>
      </c>
      <c r="R88" s="25">
        <v>6</v>
      </c>
    </row>
    <row r="89" spans="1:18" x14ac:dyDescent="0.25">
      <c r="A89" s="43">
        <v>42199</v>
      </c>
      <c r="B89" s="43"/>
      <c r="C89" s="15" t="s">
        <v>103</v>
      </c>
      <c r="D89" s="44">
        <v>2</v>
      </c>
      <c r="E89" s="23">
        <v>3</v>
      </c>
      <c r="F89" s="38">
        <f t="shared" si="18"/>
        <v>0.66666666666666663</v>
      </c>
      <c r="G89" s="23">
        <v>0</v>
      </c>
      <c r="H89" s="23">
        <v>0</v>
      </c>
      <c r="I89" s="38">
        <f t="shared" si="19"/>
        <v>0</v>
      </c>
      <c r="J89" s="23">
        <v>0</v>
      </c>
      <c r="K89" s="23">
        <v>0</v>
      </c>
      <c r="L89" s="56">
        <f t="shared" si="20"/>
        <v>0</v>
      </c>
      <c r="M89" s="23">
        <v>1</v>
      </c>
      <c r="N89" s="23">
        <v>0</v>
      </c>
      <c r="O89" s="23">
        <v>0</v>
      </c>
      <c r="P89" s="23">
        <v>0</v>
      </c>
      <c r="Q89" s="23">
        <v>0</v>
      </c>
      <c r="R89" s="25">
        <v>4</v>
      </c>
    </row>
    <row r="90" spans="1:18" x14ac:dyDescent="0.25">
      <c r="A90" s="43">
        <v>42200</v>
      </c>
      <c r="B90" s="43"/>
      <c r="C90" s="15" t="s">
        <v>58</v>
      </c>
      <c r="D90" s="44">
        <v>3</v>
      </c>
      <c r="E90" s="23">
        <v>11</v>
      </c>
      <c r="F90" s="38">
        <f t="shared" si="18"/>
        <v>0.27272727272727271</v>
      </c>
      <c r="G90" s="23">
        <v>0</v>
      </c>
      <c r="H90" s="23">
        <v>0</v>
      </c>
      <c r="I90" s="38">
        <f t="shared" si="19"/>
        <v>0</v>
      </c>
      <c r="J90" s="23">
        <v>1</v>
      </c>
      <c r="K90" s="23">
        <v>2</v>
      </c>
      <c r="L90" s="56">
        <f t="shared" si="20"/>
        <v>0.5</v>
      </c>
      <c r="M90" s="23">
        <v>4</v>
      </c>
      <c r="N90" s="23">
        <v>4</v>
      </c>
      <c r="O90" s="23">
        <v>0</v>
      </c>
      <c r="P90" s="23">
        <v>1</v>
      </c>
      <c r="Q90" s="23">
        <v>0</v>
      </c>
      <c r="R90" s="25">
        <v>7</v>
      </c>
    </row>
    <row r="91" spans="1:18" x14ac:dyDescent="0.25">
      <c r="A91" s="43">
        <v>42200</v>
      </c>
      <c r="B91" s="43"/>
      <c r="C91" s="15" t="s">
        <v>99</v>
      </c>
      <c r="D91" s="44">
        <v>1</v>
      </c>
      <c r="E91" s="23">
        <v>6</v>
      </c>
      <c r="F91" s="38">
        <f t="shared" si="18"/>
        <v>0.16666666666666666</v>
      </c>
      <c r="G91" s="23">
        <v>0</v>
      </c>
      <c r="H91" s="23">
        <v>2</v>
      </c>
      <c r="I91" s="38">
        <f t="shared" si="19"/>
        <v>0</v>
      </c>
      <c r="J91" s="23">
        <v>0</v>
      </c>
      <c r="K91" s="23">
        <v>0</v>
      </c>
      <c r="L91" s="56">
        <f t="shared" si="20"/>
        <v>0</v>
      </c>
      <c r="M91" s="23">
        <v>1</v>
      </c>
      <c r="N91" s="23">
        <v>2</v>
      </c>
      <c r="O91" s="23">
        <v>1</v>
      </c>
      <c r="P91" s="23">
        <v>1</v>
      </c>
      <c r="Q91" s="23">
        <v>0</v>
      </c>
      <c r="R91" s="25">
        <v>2</v>
      </c>
    </row>
    <row r="92" spans="1:18" x14ac:dyDescent="0.25">
      <c r="A92" s="43">
        <v>42200</v>
      </c>
      <c r="B92" s="43"/>
      <c r="C92" s="15" t="s">
        <v>142</v>
      </c>
      <c r="D92" s="44">
        <v>4</v>
      </c>
      <c r="E92" s="23">
        <v>7</v>
      </c>
      <c r="F92" s="38">
        <f t="shared" si="18"/>
        <v>0.5714285714285714</v>
      </c>
      <c r="G92" s="23">
        <v>0</v>
      </c>
      <c r="H92" s="23">
        <v>1</v>
      </c>
      <c r="I92" s="38">
        <f t="shared" si="19"/>
        <v>0</v>
      </c>
      <c r="J92" s="23">
        <v>5</v>
      </c>
      <c r="K92" s="23">
        <v>7</v>
      </c>
      <c r="L92" s="56">
        <f t="shared" si="20"/>
        <v>0.7142857142857143</v>
      </c>
      <c r="M92" s="23">
        <v>4</v>
      </c>
      <c r="N92" s="23">
        <v>4</v>
      </c>
      <c r="O92" s="23">
        <v>1</v>
      </c>
      <c r="P92" s="23">
        <v>1</v>
      </c>
      <c r="Q92" s="23">
        <v>0</v>
      </c>
      <c r="R92" s="25">
        <v>13</v>
      </c>
    </row>
    <row r="93" spans="1:18" x14ac:dyDescent="0.25">
      <c r="A93" s="43">
        <v>42200</v>
      </c>
      <c r="B93" s="43"/>
      <c r="C93" s="15" t="s">
        <v>111</v>
      </c>
      <c r="D93" s="44">
        <v>0</v>
      </c>
      <c r="E93" s="23">
        <v>4</v>
      </c>
      <c r="F93" s="38">
        <f t="shared" si="18"/>
        <v>0</v>
      </c>
      <c r="G93" s="23">
        <v>0</v>
      </c>
      <c r="H93" s="23">
        <v>4</v>
      </c>
      <c r="I93" s="38">
        <f t="shared" si="19"/>
        <v>0</v>
      </c>
      <c r="J93" s="23">
        <v>0</v>
      </c>
      <c r="K93" s="23">
        <v>0</v>
      </c>
      <c r="L93" s="56">
        <f t="shared" si="20"/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5">
        <v>0</v>
      </c>
    </row>
    <row r="94" spans="1:18" x14ac:dyDescent="0.25">
      <c r="A94" s="43">
        <v>42200</v>
      </c>
      <c r="B94" s="43"/>
      <c r="C94" s="15" t="s">
        <v>92</v>
      </c>
      <c r="D94" s="44">
        <v>6</v>
      </c>
      <c r="E94" s="23">
        <v>11</v>
      </c>
      <c r="F94" s="38">
        <f t="shared" si="18"/>
        <v>0.54545454545454541</v>
      </c>
      <c r="G94" s="23">
        <v>0</v>
      </c>
      <c r="H94" s="23">
        <v>0</v>
      </c>
      <c r="I94" s="38">
        <f t="shared" si="19"/>
        <v>0</v>
      </c>
      <c r="J94" s="23">
        <v>0</v>
      </c>
      <c r="K94" s="23">
        <v>0</v>
      </c>
      <c r="L94" s="56">
        <f t="shared" si="20"/>
        <v>0</v>
      </c>
      <c r="M94" s="23">
        <v>7</v>
      </c>
      <c r="N94" s="23">
        <v>0</v>
      </c>
      <c r="O94" s="23">
        <v>5</v>
      </c>
      <c r="P94" s="23">
        <v>2</v>
      </c>
      <c r="Q94" s="23">
        <v>0</v>
      </c>
      <c r="R94" s="25">
        <v>12</v>
      </c>
    </row>
    <row r="95" spans="1:18" x14ac:dyDescent="0.25">
      <c r="A95" s="43">
        <v>42202</v>
      </c>
      <c r="B95" s="43"/>
      <c r="C95" s="15" t="s">
        <v>58</v>
      </c>
      <c r="D95" s="44">
        <v>6</v>
      </c>
      <c r="E95" s="23">
        <v>11</v>
      </c>
      <c r="F95" s="38">
        <f t="shared" si="18"/>
        <v>0.54545454545454541</v>
      </c>
      <c r="G95" s="23">
        <v>0</v>
      </c>
      <c r="H95" s="23">
        <v>1</v>
      </c>
      <c r="I95" s="38">
        <f t="shared" si="19"/>
        <v>0</v>
      </c>
      <c r="J95" s="23">
        <v>2</v>
      </c>
      <c r="K95" s="23">
        <v>2</v>
      </c>
      <c r="L95" s="56">
        <f t="shared" si="20"/>
        <v>1</v>
      </c>
      <c r="M95" s="23">
        <v>13</v>
      </c>
      <c r="N95" s="23">
        <v>4</v>
      </c>
      <c r="O95" s="23">
        <v>1</v>
      </c>
      <c r="P95" s="23">
        <v>1</v>
      </c>
      <c r="Q95" s="23">
        <v>2</v>
      </c>
      <c r="R95" s="25">
        <v>14</v>
      </c>
    </row>
    <row r="96" spans="1:18" x14ac:dyDescent="0.25">
      <c r="A96" s="43">
        <v>42202</v>
      </c>
      <c r="B96" s="43"/>
      <c r="C96" s="15" t="s">
        <v>99</v>
      </c>
      <c r="D96" s="44">
        <v>1</v>
      </c>
      <c r="E96" s="23">
        <v>4</v>
      </c>
      <c r="F96" s="38">
        <f t="shared" si="18"/>
        <v>0.25</v>
      </c>
      <c r="G96" s="23">
        <v>1</v>
      </c>
      <c r="H96" s="23">
        <v>3</v>
      </c>
      <c r="I96" s="38">
        <f t="shared" si="19"/>
        <v>0.33333333333333331</v>
      </c>
      <c r="J96" s="23">
        <v>0</v>
      </c>
      <c r="K96" s="23">
        <v>0</v>
      </c>
      <c r="L96" s="56">
        <f t="shared" si="20"/>
        <v>0</v>
      </c>
      <c r="M96" s="23">
        <v>1</v>
      </c>
      <c r="N96" s="23">
        <v>1</v>
      </c>
      <c r="O96" s="23">
        <v>0</v>
      </c>
      <c r="P96" s="23">
        <v>0</v>
      </c>
      <c r="Q96" s="23">
        <v>0</v>
      </c>
      <c r="R96" s="25">
        <v>3</v>
      </c>
    </row>
    <row r="97" spans="1:18" x14ac:dyDescent="0.25">
      <c r="A97" s="43">
        <v>42202</v>
      </c>
      <c r="B97" s="43"/>
      <c r="C97" s="15" t="s">
        <v>59</v>
      </c>
      <c r="D97" s="44">
        <v>4</v>
      </c>
      <c r="E97" s="23">
        <v>11</v>
      </c>
      <c r="F97" s="38">
        <f t="shared" si="18"/>
        <v>0.36363636363636365</v>
      </c>
      <c r="G97" s="23">
        <v>2</v>
      </c>
      <c r="H97" s="23">
        <v>3</v>
      </c>
      <c r="I97" s="38">
        <f t="shared" si="19"/>
        <v>0.66666666666666663</v>
      </c>
      <c r="J97" s="23">
        <v>0</v>
      </c>
      <c r="K97" s="23">
        <v>0</v>
      </c>
      <c r="L97" s="56">
        <f t="shared" si="20"/>
        <v>0</v>
      </c>
      <c r="M97" s="23">
        <v>1</v>
      </c>
      <c r="N97" s="23">
        <v>6</v>
      </c>
      <c r="O97" s="23">
        <v>1</v>
      </c>
      <c r="P97" s="23">
        <v>2</v>
      </c>
      <c r="Q97" s="23">
        <v>0</v>
      </c>
      <c r="R97" s="25">
        <v>10</v>
      </c>
    </row>
    <row r="98" spans="1:18" x14ac:dyDescent="0.25">
      <c r="A98" s="43">
        <v>42202</v>
      </c>
      <c r="B98" s="43"/>
      <c r="C98" s="15" t="s">
        <v>143</v>
      </c>
      <c r="D98" s="44">
        <v>5</v>
      </c>
      <c r="E98" s="23">
        <v>11</v>
      </c>
      <c r="F98" s="38">
        <f t="shared" si="18"/>
        <v>0.45454545454545453</v>
      </c>
      <c r="G98" s="23">
        <v>0</v>
      </c>
      <c r="H98" s="23">
        <v>0</v>
      </c>
      <c r="I98" s="38">
        <f t="shared" si="19"/>
        <v>0</v>
      </c>
      <c r="J98" s="23">
        <v>0</v>
      </c>
      <c r="K98" s="23">
        <v>0</v>
      </c>
      <c r="L98" s="56">
        <f t="shared" si="20"/>
        <v>0</v>
      </c>
      <c r="M98" s="23">
        <v>8</v>
      </c>
      <c r="N98" s="23">
        <v>1</v>
      </c>
      <c r="O98" s="23">
        <v>1</v>
      </c>
      <c r="P98" s="23">
        <v>2</v>
      </c>
      <c r="Q98" s="23">
        <v>0</v>
      </c>
      <c r="R98" s="25">
        <v>10</v>
      </c>
    </row>
    <row r="99" spans="1:18" x14ac:dyDescent="0.25">
      <c r="A99" s="43">
        <v>42202</v>
      </c>
      <c r="B99" s="43"/>
      <c r="C99" s="15" t="s">
        <v>142</v>
      </c>
      <c r="D99" s="44">
        <v>2</v>
      </c>
      <c r="E99" s="23">
        <v>5</v>
      </c>
      <c r="F99" s="38">
        <f t="shared" si="18"/>
        <v>0.4</v>
      </c>
      <c r="G99" s="23">
        <v>1</v>
      </c>
      <c r="H99" s="23">
        <v>2</v>
      </c>
      <c r="I99" s="38">
        <f t="shared" si="19"/>
        <v>0.5</v>
      </c>
      <c r="J99" s="23">
        <v>0</v>
      </c>
      <c r="K99" s="23">
        <v>0</v>
      </c>
      <c r="L99" s="56">
        <f t="shared" si="20"/>
        <v>0</v>
      </c>
      <c r="M99" s="23">
        <v>7</v>
      </c>
      <c r="N99" s="23">
        <v>4</v>
      </c>
      <c r="O99" s="23">
        <v>1</v>
      </c>
      <c r="P99" s="23">
        <v>1</v>
      </c>
      <c r="Q99" s="23">
        <v>0</v>
      </c>
      <c r="R99" s="25">
        <v>5</v>
      </c>
    </row>
    <row r="100" spans="1:18" x14ac:dyDescent="0.25">
      <c r="A100" s="43">
        <v>42202</v>
      </c>
      <c r="B100" s="43"/>
      <c r="C100" s="15" t="s">
        <v>111</v>
      </c>
      <c r="D100" s="44">
        <v>1</v>
      </c>
      <c r="E100" s="23">
        <v>3</v>
      </c>
      <c r="F100" s="38">
        <f t="shared" si="18"/>
        <v>0.33333333333333331</v>
      </c>
      <c r="G100" s="23">
        <v>1</v>
      </c>
      <c r="H100" s="23">
        <v>3</v>
      </c>
      <c r="I100" s="38">
        <f t="shared" si="19"/>
        <v>0.33333333333333331</v>
      </c>
      <c r="J100" s="23">
        <v>1</v>
      </c>
      <c r="K100" s="23">
        <v>1</v>
      </c>
      <c r="L100" s="56">
        <f t="shared" si="20"/>
        <v>1</v>
      </c>
      <c r="M100" s="23">
        <v>3</v>
      </c>
      <c r="N100" s="23">
        <v>0</v>
      </c>
      <c r="O100" s="23">
        <v>2</v>
      </c>
      <c r="P100" s="23">
        <v>1</v>
      </c>
      <c r="Q100" s="23">
        <v>0</v>
      </c>
      <c r="R100" s="25">
        <v>4</v>
      </c>
    </row>
    <row r="101" spans="1:18" x14ac:dyDescent="0.25">
      <c r="A101" s="43">
        <v>42203</v>
      </c>
      <c r="B101" s="43"/>
      <c r="C101" s="15" t="s">
        <v>92</v>
      </c>
      <c r="D101" s="44">
        <v>4</v>
      </c>
      <c r="E101" s="23">
        <v>6</v>
      </c>
      <c r="F101" s="38">
        <f t="shared" si="18"/>
        <v>0.66666666666666663</v>
      </c>
      <c r="G101" s="23">
        <v>0</v>
      </c>
      <c r="H101" s="23">
        <v>0</v>
      </c>
      <c r="I101" s="38">
        <f t="shared" si="19"/>
        <v>0</v>
      </c>
      <c r="J101" s="23">
        <v>2</v>
      </c>
      <c r="K101" s="23">
        <v>2</v>
      </c>
      <c r="L101" s="56">
        <f t="shared" si="20"/>
        <v>1</v>
      </c>
      <c r="M101" s="23">
        <v>9</v>
      </c>
      <c r="N101" s="23">
        <v>2</v>
      </c>
      <c r="O101" s="23">
        <v>3</v>
      </c>
      <c r="P101" s="23">
        <v>1</v>
      </c>
      <c r="Q101" s="23">
        <v>0</v>
      </c>
      <c r="R101" s="25">
        <v>10</v>
      </c>
    </row>
    <row r="102" spans="1:18" x14ac:dyDescent="0.25">
      <c r="A102" s="43">
        <v>42204</v>
      </c>
      <c r="B102" s="43"/>
      <c r="C102" s="15" t="s">
        <v>59</v>
      </c>
      <c r="D102" s="44">
        <v>0</v>
      </c>
      <c r="E102" s="23">
        <v>2</v>
      </c>
      <c r="F102" s="38">
        <f t="shared" si="18"/>
        <v>0</v>
      </c>
      <c r="G102" s="23">
        <v>0</v>
      </c>
      <c r="H102" s="23">
        <v>0</v>
      </c>
      <c r="I102" s="38">
        <f t="shared" si="19"/>
        <v>0</v>
      </c>
      <c r="J102" s="23">
        <v>2</v>
      </c>
      <c r="K102" s="23">
        <v>2</v>
      </c>
      <c r="L102" s="56">
        <f t="shared" si="20"/>
        <v>1</v>
      </c>
      <c r="M102" s="23">
        <v>0</v>
      </c>
      <c r="N102" s="23">
        <v>0</v>
      </c>
      <c r="O102" s="23">
        <v>0</v>
      </c>
      <c r="P102" s="23">
        <v>1</v>
      </c>
      <c r="Q102" s="23">
        <v>0</v>
      </c>
      <c r="R102" s="25">
        <v>2</v>
      </c>
    </row>
    <row r="103" spans="1:18" x14ac:dyDescent="0.25">
      <c r="A103" s="43">
        <v>42204</v>
      </c>
      <c r="B103" s="43"/>
      <c r="C103" s="15" t="s">
        <v>148</v>
      </c>
      <c r="D103" s="44">
        <v>3</v>
      </c>
      <c r="E103" s="23">
        <v>4</v>
      </c>
      <c r="F103" s="38">
        <f t="shared" si="18"/>
        <v>0.75</v>
      </c>
      <c r="G103" s="23">
        <v>0</v>
      </c>
      <c r="H103" s="23">
        <v>0</v>
      </c>
      <c r="I103" s="38">
        <f t="shared" si="19"/>
        <v>0</v>
      </c>
      <c r="J103" s="23">
        <v>2</v>
      </c>
      <c r="K103" s="23">
        <v>3</v>
      </c>
      <c r="L103" s="56">
        <f t="shared" si="20"/>
        <v>0.66666666666666663</v>
      </c>
      <c r="M103" s="23">
        <v>7</v>
      </c>
      <c r="N103" s="23">
        <v>2</v>
      </c>
      <c r="O103" s="23">
        <v>0</v>
      </c>
      <c r="P103" s="23">
        <v>2</v>
      </c>
      <c r="Q103" s="23">
        <v>1</v>
      </c>
      <c r="R103" s="25">
        <v>8</v>
      </c>
    </row>
    <row r="104" spans="1:18" x14ac:dyDescent="0.25">
      <c r="A104" s="43">
        <v>42204</v>
      </c>
      <c r="B104" s="43"/>
      <c r="C104" s="15" t="s">
        <v>111</v>
      </c>
      <c r="D104" s="44">
        <v>2</v>
      </c>
      <c r="E104" s="23">
        <v>4</v>
      </c>
      <c r="F104" s="38">
        <f t="shared" si="18"/>
        <v>0.5</v>
      </c>
      <c r="G104" s="23">
        <v>2</v>
      </c>
      <c r="H104" s="23">
        <v>3</v>
      </c>
      <c r="I104" s="38">
        <f t="shared" si="19"/>
        <v>0.66666666666666663</v>
      </c>
      <c r="J104" s="23">
        <v>1</v>
      </c>
      <c r="K104" s="23">
        <v>2</v>
      </c>
      <c r="L104" s="56">
        <f t="shared" si="20"/>
        <v>0.5</v>
      </c>
      <c r="M104" s="23">
        <v>1</v>
      </c>
      <c r="N104" s="23">
        <v>0</v>
      </c>
      <c r="O104" s="23">
        <v>0</v>
      </c>
      <c r="P104" s="23">
        <v>0</v>
      </c>
      <c r="Q104" s="23">
        <v>0</v>
      </c>
      <c r="R104" s="25">
        <v>7</v>
      </c>
    </row>
    <row r="105" spans="1:18" x14ac:dyDescent="0.25">
      <c r="A105" s="43">
        <v>42204</v>
      </c>
      <c r="B105" s="43"/>
      <c r="C105" s="15" t="s">
        <v>147</v>
      </c>
      <c r="D105" s="44">
        <v>1</v>
      </c>
      <c r="E105" s="23">
        <v>5</v>
      </c>
      <c r="F105" s="38">
        <f t="shared" si="18"/>
        <v>0.2</v>
      </c>
      <c r="G105" s="23">
        <v>0</v>
      </c>
      <c r="H105" s="23">
        <v>1</v>
      </c>
      <c r="I105" s="38">
        <f t="shared" si="19"/>
        <v>0</v>
      </c>
      <c r="J105" s="23">
        <v>0</v>
      </c>
      <c r="K105" s="23">
        <v>1</v>
      </c>
      <c r="L105" s="56">
        <f t="shared" si="20"/>
        <v>0</v>
      </c>
      <c r="M105" s="23">
        <v>4</v>
      </c>
      <c r="N105" s="23">
        <v>6</v>
      </c>
      <c r="O105" s="23">
        <v>1</v>
      </c>
      <c r="P105" s="23">
        <v>0</v>
      </c>
      <c r="Q105" s="23">
        <v>2</v>
      </c>
      <c r="R105" s="25">
        <v>2</v>
      </c>
    </row>
    <row r="106" spans="1:18" x14ac:dyDescent="0.25">
      <c r="A106" s="43">
        <v>42204</v>
      </c>
      <c r="B106" s="43"/>
      <c r="C106" s="15" t="s">
        <v>58</v>
      </c>
      <c r="D106" s="44">
        <v>2</v>
      </c>
      <c r="E106" s="23">
        <v>5</v>
      </c>
      <c r="F106" s="38">
        <f t="shared" si="18"/>
        <v>0.4</v>
      </c>
      <c r="G106" s="23">
        <v>0</v>
      </c>
      <c r="H106" s="23">
        <v>1</v>
      </c>
      <c r="I106" s="38">
        <f t="shared" si="19"/>
        <v>0</v>
      </c>
      <c r="J106" s="23">
        <v>3</v>
      </c>
      <c r="K106" s="23">
        <v>5</v>
      </c>
      <c r="L106" s="56">
        <f t="shared" si="20"/>
        <v>0.6</v>
      </c>
      <c r="M106" s="23">
        <v>5</v>
      </c>
      <c r="N106" s="23">
        <v>3</v>
      </c>
      <c r="O106" s="23">
        <v>2</v>
      </c>
      <c r="P106" s="23">
        <v>2</v>
      </c>
      <c r="Q106" s="23">
        <v>0</v>
      </c>
      <c r="R106" s="25">
        <v>7</v>
      </c>
    </row>
    <row r="107" spans="1:18" x14ac:dyDescent="0.25">
      <c r="A107" s="43">
        <v>42206</v>
      </c>
      <c r="B107" s="43"/>
      <c r="C107" s="15" t="s">
        <v>58</v>
      </c>
      <c r="D107" s="44">
        <v>5</v>
      </c>
      <c r="E107" s="23">
        <v>8</v>
      </c>
      <c r="F107" s="38">
        <f t="shared" ref="F107:F127" si="21">IF(E107=0,0,D107/E107)</f>
        <v>0.625</v>
      </c>
      <c r="G107" s="23">
        <v>0</v>
      </c>
      <c r="H107" s="23">
        <v>0</v>
      </c>
      <c r="I107" s="38">
        <f t="shared" ref="I107:I127" si="22">IF(H107=0,0,G107/H107)</f>
        <v>0</v>
      </c>
      <c r="J107" s="23">
        <v>0</v>
      </c>
      <c r="K107" s="23">
        <v>0</v>
      </c>
      <c r="L107" s="70">
        <f t="shared" ref="L107:L127" si="23">IF(K107=0,0,J107/K107)</f>
        <v>0</v>
      </c>
      <c r="M107" s="23">
        <v>5</v>
      </c>
      <c r="N107" s="23">
        <v>1</v>
      </c>
      <c r="O107" s="23">
        <v>0</v>
      </c>
      <c r="P107" s="23">
        <v>0</v>
      </c>
      <c r="Q107" s="23">
        <v>2</v>
      </c>
      <c r="R107" s="25">
        <v>10</v>
      </c>
    </row>
    <row r="108" spans="1:18" x14ac:dyDescent="0.25">
      <c r="A108" s="43">
        <v>42206</v>
      </c>
      <c r="B108" s="43"/>
      <c r="C108" s="15" t="s">
        <v>147</v>
      </c>
      <c r="D108" s="44">
        <v>5</v>
      </c>
      <c r="E108" s="23">
        <v>10</v>
      </c>
      <c r="F108" s="38">
        <f t="shared" si="21"/>
        <v>0.5</v>
      </c>
      <c r="G108" s="23">
        <v>1</v>
      </c>
      <c r="H108" s="23">
        <v>2</v>
      </c>
      <c r="I108" s="38">
        <f t="shared" si="22"/>
        <v>0.5</v>
      </c>
      <c r="J108" s="23">
        <v>2</v>
      </c>
      <c r="K108" s="23">
        <v>2</v>
      </c>
      <c r="L108" s="70">
        <f t="shared" si="23"/>
        <v>1</v>
      </c>
      <c r="M108" s="23">
        <v>2</v>
      </c>
      <c r="N108" s="23">
        <v>3</v>
      </c>
      <c r="O108" s="23">
        <v>2</v>
      </c>
      <c r="P108" s="23">
        <v>0</v>
      </c>
      <c r="Q108" s="23">
        <v>0</v>
      </c>
      <c r="R108" s="25">
        <v>13</v>
      </c>
    </row>
    <row r="109" spans="1:18" x14ac:dyDescent="0.25">
      <c r="A109" s="43">
        <v>42206</v>
      </c>
      <c r="B109" s="43"/>
      <c r="C109" s="15" t="s">
        <v>99</v>
      </c>
      <c r="D109" s="44">
        <v>2</v>
      </c>
      <c r="E109" s="23">
        <v>7</v>
      </c>
      <c r="F109" s="38">
        <f t="shared" si="21"/>
        <v>0.2857142857142857</v>
      </c>
      <c r="G109" s="23">
        <v>1</v>
      </c>
      <c r="H109" s="23">
        <v>2</v>
      </c>
      <c r="I109" s="38">
        <f t="shared" si="22"/>
        <v>0.5</v>
      </c>
      <c r="J109" s="23">
        <v>2</v>
      </c>
      <c r="K109" s="23">
        <v>2</v>
      </c>
      <c r="L109" s="70">
        <f t="shared" si="23"/>
        <v>1</v>
      </c>
      <c r="M109" s="23">
        <v>2</v>
      </c>
      <c r="N109" s="23">
        <v>2</v>
      </c>
      <c r="O109" s="23">
        <v>1</v>
      </c>
      <c r="P109" s="23">
        <v>1</v>
      </c>
      <c r="Q109" s="23">
        <v>0</v>
      </c>
      <c r="R109" s="25">
        <v>7</v>
      </c>
    </row>
    <row r="110" spans="1:18" x14ac:dyDescent="0.25">
      <c r="A110" s="43">
        <v>42206</v>
      </c>
      <c r="B110" s="43"/>
      <c r="C110" s="15" t="s">
        <v>92</v>
      </c>
      <c r="D110" s="44">
        <v>6</v>
      </c>
      <c r="E110" s="23">
        <v>9</v>
      </c>
      <c r="F110" s="38">
        <f t="shared" si="21"/>
        <v>0.66666666666666663</v>
      </c>
      <c r="G110" s="23">
        <v>0</v>
      </c>
      <c r="H110" s="23">
        <v>0</v>
      </c>
      <c r="I110" s="38">
        <f t="shared" si="22"/>
        <v>0</v>
      </c>
      <c r="J110" s="23">
        <v>1</v>
      </c>
      <c r="K110" s="23">
        <v>1</v>
      </c>
      <c r="L110" s="70">
        <f t="shared" si="23"/>
        <v>1</v>
      </c>
      <c r="M110" s="23">
        <v>5</v>
      </c>
      <c r="N110" s="23">
        <v>1</v>
      </c>
      <c r="O110" s="23">
        <v>1</v>
      </c>
      <c r="P110" s="23">
        <v>2</v>
      </c>
      <c r="Q110" s="23">
        <v>0</v>
      </c>
      <c r="R110" s="25">
        <v>13</v>
      </c>
    </row>
    <row r="111" spans="1:18" x14ac:dyDescent="0.25">
      <c r="A111" s="43">
        <v>42206</v>
      </c>
      <c r="B111" s="43"/>
      <c r="C111" s="15" t="s">
        <v>143</v>
      </c>
      <c r="D111" s="44">
        <v>1</v>
      </c>
      <c r="E111" s="23">
        <v>5</v>
      </c>
      <c r="F111" s="38">
        <f t="shared" si="21"/>
        <v>0.2</v>
      </c>
      <c r="G111" s="23">
        <v>0</v>
      </c>
      <c r="H111" s="23">
        <v>0</v>
      </c>
      <c r="I111" s="38">
        <f t="shared" si="22"/>
        <v>0</v>
      </c>
      <c r="J111" s="23">
        <v>0</v>
      </c>
      <c r="K111" s="23">
        <v>0</v>
      </c>
      <c r="L111" s="70">
        <f t="shared" si="23"/>
        <v>0</v>
      </c>
      <c r="M111" s="23">
        <v>1</v>
      </c>
      <c r="N111" s="23">
        <v>0</v>
      </c>
      <c r="O111" s="23">
        <v>0</v>
      </c>
      <c r="P111" s="23">
        <v>1</v>
      </c>
      <c r="Q111" s="23">
        <v>0</v>
      </c>
      <c r="R111" s="25">
        <v>2</v>
      </c>
    </row>
    <row r="112" spans="1:18" x14ac:dyDescent="0.25">
      <c r="A112" s="43">
        <v>42206</v>
      </c>
      <c r="B112" s="43"/>
      <c r="C112" s="15" t="s">
        <v>148</v>
      </c>
      <c r="D112" s="44">
        <v>2</v>
      </c>
      <c r="E112" s="23">
        <v>3</v>
      </c>
      <c r="F112" s="38">
        <f t="shared" si="21"/>
        <v>0.66666666666666663</v>
      </c>
      <c r="G112" s="23">
        <v>0</v>
      </c>
      <c r="H112" s="23">
        <v>0</v>
      </c>
      <c r="I112" s="38">
        <f t="shared" si="22"/>
        <v>0</v>
      </c>
      <c r="J112" s="23">
        <v>0</v>
      </c>
      <c r="K112" s="23">
        <v>0</v>
      </c>
      <c r="L112" s="70">
        <f t="shared" si="23"/>
        <v>0</v>
      </c>
      <c r="M112" s="23">
        <v>7</v>
      </c>
      <c r="N112" s="23">
        <v>2</v>
      </c>
      <c r="O112" s="23">
        <v>0</v>
      </c>
      <c r="P112" s="23">
        <v>3</v>
      </c>
      <c r="Q112" s="23">
        <v>0</v>
      </c>
      <c r="R112" s="25">
        <v>4</v>
      </c>
    </row>
    <row r="113" spans="1:18" x14ac:dyDescent="0.25">
      <c r="A113" s="77">
        <v>42213</v>
      </c>
      <c r="B113" s="43"/>
      <c r="C113" s="15" t="s">
        <v>143</v>
      </c>
      <c r="D113" s="44">
        <v>0</v>
      </c>
      <c r="E113" s="23">
        <v>1</v>
      </c>
      <c r="F113" s="38">
        <f t="shared" si="21"/>
        <v>0</v>
      </c>
      <c r="G113" s="23">
        <v>0</v>
      </c>
      <c r="H113" s="23">
        <v>0</v>
      </c>
      <c r="I113" s="38">
        <f t="shared" si="22"/>
        <v>0</v>
      </c>
      <c r="J113" s="23">
        <v>0</v>
      </c>
      <c r="K113" s="23">
        <v>0</v>
      </c>
      <c r="L113" s="70">
        <f t="shared" si="23"/>
        <v>0</v>
      </c>
      <c r="M113" s="23">
        <v>3</v>
      </c>
      <c r="N113" s="23">
        <v>2</v>
      </c>
      <c r="O113" s="23">
        <v>1</v>
      </c>
      <c r="P113" s="23">
        <v>0</v>
      </c>
      <c r="Q113" s="23">
        <v>0</v>
      </c>
      <c r="R113" s="25">
        <v>0</v>
      </c>
    </row>
    <row r="114" spans="1:18" x14ac:dyDescent="0.25">
      <c r="A114" s="77">
        <v>42213</v>
      </c>
      <c r="B114" s="43"/>
      <c r="C114" s="15" t="s">
        <v>148</v>
      </c>
      <c r="D114" s="44">
        <v>1</v>
      </c>
      <c r="E114" s="23">
        <v>4</v>
      </c>
      <c r="F114" s="38">
        <f t="shared" si="21"/>
        <v>0.25</v>
      </c>
      <c r="G114" s="23">
        <v>0</v>
      </c>
      <c r="H114" s="23">
        <v>0</v>
      </c>
      <c r="I114" s="38">
        <f t="shared" si="22"/>
        <v>0</v>
      </c>
      <c r="J114" s="23">
        <v>2</v>
      </c>
      <c r="K114" s="23">
        <v>2</v>
      </c>
      <c r="L114" s="70">
        <f t="shared" si="23"/>
        <v>1</v>
      </c>
      <c r="M114" s="23">
        <v>8</v>
      </c>
      <c r="N114" s="23">
        <v>3</v>
      </c>
      <c r="O114" s="23">
        <v>2</v>
      </c>
      <c r="P114" s="23">
        <v>2</v>
      </c>
      <c r="Q114" s="23">
        <v>1</v>
      </c>
      <c r="R114" s="25">
        <v>4</v>
      </c>
    </row>
    <row r="115" spans="1:18" x14ac:dyDescent="0.25">
      <c r="A115" s="43">
        <v>42214</v>
      </c>
      <c r="B115" s="43"/>
      <c r="C115" s="15" t="s">
        <v>147</v>
      </c>
      <c r="D115" s="44">
        <v>1</v>
      </c>
      <c r="E115" s="23">
        <v>6</v>
      </c>
      <c r="F115" s="38">
        <f t="shared" si="21"/>
        <v>0.16666666666666666</v>
      </c>
      <c r="G115" s="23">
        <v>0</v>
      </c>
      <c r="H115" s="23">
        <v>2</v>
      </c>
      <c r="I115" s="38">
        <f t="shared" si="22"/>
        <v>0</v>
      </c>
      <c r="J115" s="23">
        <v>1</v>
      </c>
      <c r="K115" s="23">
        <v>2</v>
      </c>
      <c r="L115" s="70">
        <f t="shared" si="23"/>
        <v>0.5</v>
      </c>
      <c r="M115" s="23">
        <v>2</v>
      </c>
      <c r="N115" s="23">
        <v>3</v>
      </c>
      <c r="O115" s="23">
        <v>2</v>
      </c>
      <c r="P115" s="23">
        <v>1</v>
      </c>
      <c r="Q115" s="23">
        <v>0</v>
      </c>
      <c r="R115" s="25">
        <v>3</v>
      </c>
    </row>
    <row r="116" spans="1:18" x14ac:dyDescent="0.25">
      <c r="A116" s="43">
        <v>42214</v>
      </c>
      <c r="B116" s="43"/>
      <c r="C116" s="15" t="s">
        <v>58</v>
      </c>
      <c r="D116" s="44">
        <v>2</v>
      </c>
      <c r="E116" s="23">
        <v>8</v>
      </c>
      <c r="F116" s="38">
        <f t="shared" si="21"/>
        <v>0.25</v>
      </c>
      <c r="G116" s="23">
        <v>0</v>
      </c>
      <c r="H116" s="23">
        <v>0</v>
      </c>
      <c r="I116" s="38">
        <f t="shared" si="22"/>
        <v>0</v>
      </c>
      <c r="J116" s="23">
        <v>1</v>
      </c>
      <c r="K116" s="23">
        <v>1</v>
      </c>
      <c r="L116" s="70">
        <f t="shared" si="23"/>
        <v>1</v>
      </c>
      <c r="M116" s="23">
        <v>7</v>
      </c>
      <c r="N116" s="23">
        <v>5</v>
      </c>
      <c r="O116" s="23">
        <v>0</v>
      </c>
      <c r="P116" s="23">
        <v>1</v>
      </c>
      <c r="Q116" s="23">
        <v>2</v>
      </c>
      <c r="R116" s="25">
        <v>5</v>
      </c>
    </row>
    <row r="117" spans="1:18" x14ac:dyDescent="0.25">
      <c r="A117" s="43">
        <v>42214</v>
      </c>
      <c r="B117" s="43"/>
      <c r="C117" s="15" t="s">
        <v>99</v>
      </c>
      <c r="D117" s="44">
        <v>4</v>
      </c>
      <c r="E117" s="23">
        <v>9</v>
      </c>
      <c r="F117" s="38">
        <f t="shared" si="21"/>
        <v>0.44444444444444442</v>
      </c>
      <c r="G117" s="23">
        <v>1</v>
      </c>
      <c r="H117" s="23">
        <v>3</v>
      </c>
      <c r="I117" s="38">
        <f t="shared" si="22"/>
        <v>0.33333333333333331</v>
      </c>
      <c r="J117" s="23">
        <v>0</v>
      </c>
      <c r="K117" s="23">
        <v>0</v>
      </c>
      <c r="L117" s="70">
        <f t="shared" si="23"/>
        <v>0</v>
      </c>
      <c r="M117" s="23">
        <v>3</v>
      </c>
      <c r="N117" s="23">
        <v>3</v>
      </c>
      <c r="O117" s="23">
        <v>0</v>
      </c>
      <c r="P117" s="23">
        <v>1</v>
      </c>
      <c r="Q117" s="23">
        <v>0</v>
      </c>
      <c r="R117" s="25">
        <v>9</v>
      </c>
    </row>
    <row r="118" spans="1:18" x14ac:dyDescent="0.25">
      <c r="A118" s="43">
        <v>42214</v>
      </c>
      <c r="B118" s="43"/>
      <c r="C118" s="15" t="s">
        <v>92</v>
      </c>
      <c r="D118" s="44">
        <v>3</v>
      </c>
      <c r="E118" s="23">
        <v>10</v>
      </c>
      <c r="F118" s="38">
        <f t="shared" si="21"/>
        <v>0.3</v>
      </c>
      <c r="G118" s="23">
        <v>0</v>
      </c>
      <c r="H118" s="23">
        <v>0</v>
      </c>
      <c r="I118" s="38">
        <f t="shared" si="22"/>
        <v>0</v>
      </c>
      <c r="J118" s="23">
        <v>4</v>
      </c>
      <c r="K118" s="23">
        <v>5</v>
      </c>
      <c r="L118" s="70">
        <f t="shared" si="23"/>
        <v>0.8</v>
      </c>
      <c r="M118" s="23">
        <v>3</v>
      </c>
      <c r="N118" s="23">
        <v>0</v>
      </c>
      <c r="O118" s="23">
        <v>0</v>
      </c>
      <c r="P118" s="23">
        <v>2</v>
      </c>
      <c r="Q118" s="23">
        <v>1</v>
      </c>
      <c r="R118" s="25">
        <v>10</v>
      </c>
    </row>
    <row r="119" spans="1:18" x14ac:dyDescent="0.25">
      <c r="A119" s="43">
        <v>42214</v>
      </c>
      <c r="B119" s="43"/>
      <c r="C119" s="15" t="s">
        <v>143</v>
      </c>
      <c r="D119" s="44">
        <v>1</v>
      </c>
      <c r="E119" s="23">
        <v>3</v>
      </c>
      <c r="F119" s="38">
        <f t="shared" si="21"/>
        <v>0.33333333333333331</v>
      </c>
      <c r="G119" s="23">
        <v>0</v>
      </c>
      <c r="H119" s="23">
        <v>0</v>
      </c>
      <c r="I119" s="38">
        <f t="shared" si="22"/>
        <v>0</v>
      </c>
      <c r="J119" s="23">
        <v>2</v>
      </c>
      <c r="K119" s="23">
        <v>2</v>
      </c>
      <c r="L119" s="70">
        <f t="shared" si="23"/>
        <v>1</v>
      </c>
      <c r="M119" s="23">
        <v>3</v>
      </c>
      <c r="N119" s="23">
        <v>0</v>
      </c>
      <c r="O119" s="23">
        <v>0</v>
      </c>
      <c r="P119" s="23">
        <v>3</v>
      </c>
      <c r="Q119" s="23">
        <v>0</v>
      </c>
      <c r="R119" s="25">
        <v>4</v>
      </c>
    </row>
    <row r="120" spans="1:18" x14ac:dyDescent="0.25">
      <c r="A120" s="43">
        <v>42214</v>
      </c>
      <c r="B120" s="43"/>
      <c r="C120" s="15" t="s">
        <v>59</v>
      </c>
      <c r="D120" s="44">
        <v>8</v>
      </c>
      <c r="E120" s="23">
        <v>15</v>
      </c>
      <c r="F120" s="38">
        <f t="shared" si="21"/>
        <v>0.53333333333333333</v>
      </c>
      <c r="G120" s="23">
        <v>1</v>
      </c>
      <c r="H120" s="23">
        <v>2</v>
      </c>
      <c r="I120" s="38">
        <f t="shared" si="22"/>
        <v>0.5</v>
      </c>
      <c r="J120" s="23">
        <v>7</v>
      </c>
      <c r="K120" s="23">
        <v>7</v>
      </c>
      <c r="L120" s="70">
        <f t="shared" si="23"/>
        <v>1</v>
      </c>
      <c r="M120" s="23">
        <v>1</v>
      </c>
      <c r="N120" s="23">
        <v>6</v>
      </c>
      <c r="O120" s="23">
        <v>0</v>
      </c>
      <c r="P120" s="23">
        <v>1</v>
      </c>
      <c r="Q120" s="23">
        <v>0</v>
      </c>
      <c r="R120" s="25">
        <v>24</v>
      </c>
    </row>
    <row r="121" spans="1:18" x14ac:dyDescent="0.25">
      <c r="A121" s="72">
        <v>42215</v>
      </c>
      <c r="B121" s="43"/>
      <c r="C121" s="15" t="s">
        <v>111</v>
      </c>
      <c r="D121" s="44">
        <v>1</v>
      </c>
      <c r="E121" s="23">
        <v>3</v>
      </c>
      <c r="F121" s="38">
        <f t="shared" si="21"/>
        <v>0.33333333333333331</v>
      </c>
      <c r="G121" s="23">
        <v>1</v>
      </c>
      <c r="H121" s="23">
        <v>3</v>
      </c>
      <c r="I121" s="38">
        <f t="shared" si="22"/>
        <v>0.33333333333333331</v>
      </c>
      <c r="J121" s="23">
        <v>0</v>
      </c>
      <c r="K121" s="23">
        <v>0</v>
      </c>
      <c r="L121" s="70">
        <f t="shared" si="23"/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5">
        <v>3</v>
      </c>
    </row>
    <row r="122" spans="1:18" x14ac:dyDescent="0.25">
      <c r="A122" s="43">
        <v>42216</v>
      </c>
      <c r="B122" s="43"/>
      <c r="C122" s="15" t="s">
        <v>92</v>
      </c>
      <c r="D122" s="44">
        <v>3</v>
      </c>
      <c r="E122" s="23">
        <v>9</v>
      </c>
      <c r="F122" s="38">
        <f t="shared" si="21"/>
        <v>0.33333333333333331</v>
      </c>
      <c r="G122" s="23">
        <v>0</v>
      </c>
      <c r="H122" s="23">
        <v>0</v>
      </c>
      <c r="I122" s="38">
        <f t="shared" si="22"/>
        <v>0</v>
      </c>
      <c r="J122" s="23">
        <v>4</v>
      </c>
      <c r="K122" s="23">
        <v>4</v>
      </c>
      <c r="L122" s="70">
        <f t="shared" si="23"/>
        <v>1</v>
      </c>
      <c r="M122" s="23">
        <v>6</v>
      </c>
      <c r="N122" s="23">
        <v>0</v>
      </c>
      <c r="O122" s="23">
        <v>1</v>
      </c>
      <c r="P122" s="23">
        <v>2</v>
      </c>
      <c r="Q122" s="23">
        <v>1</v>
      </c>
      <c r="R122" s="25">
        <v>10</v>
      </c>
    </row>
    <row r="123" spans="1:18" x14ac:dyDescent="0.25">
      <c r="A123" s="43">
        <v>42216</v>
      </c>
      <c r="B123" s="43"/>
      <c r="C123" s="15" t="s">
        <v>59</v>
      </c>
      <c r="D123" s="44">
        <v>6</v>
      </c>
      <c r="E123" s="23">
        <v>13</v>
      </c>
      <c r="F123" s="38">
        <f t="shared" si="21"/>
        <v>0.46153846153846156</v>
      </c>
      <c r="G123" s="23">
        <v>0</v>
      </c>
      <c r="H123" s="23">
        <v>1</v>
      </c>
      <c r="I123" s="38">
        <f t="shared" si="22"/>
        <v>0</v>
      </c>
      <c r="J123" s="23">
        <v>3</v>
      </c>
      <c r="K123" s="23">
        <v>5</v>
      </c>
      <c r="L123" s="70">
        <f t="shared" si="23"/>
        <v>0.6</v>
      </c>
      <c r="M123" s="23">
        <v>4</v>
      </c>
      <c r="N123" s="23">
        <v>1</v>
      </c>
      <c r="O123" s="23">
        <v>1</v>
      </c>
      <c r="P123" s="23">
        <v>3</v>
      </c>
      <c r="Q123" s="23">
        <v>0</v>
      </c>
      <c r="R123" s="25">
        <v>15</v>
      </c>
    </row>
    <row r="124" spans="1:18" x14ac:dyDescent="0.25">
      <c r="A124" s="43">
        <v>42216</v>
      </c>
      <c r="B124" s="43"/>
      <c r="C124" s="15" t="s">
        <v>58</v>
      </c>
      <c r="D124" s="44">
        <v>6</v>
      </c>
      <c r="E124" s="23">
        <v>8</v>
      </c>
      <c r="F124" s="38">
        <f t="shared" si="21"/>
        <v>0.75</v>
      </c>
      <c r="G124" s="23">
        <v>0</v>
      </c>
      <c r="H124" s="23">
        <v>0</v>
      </c>
      <c r="I124" s="38">
        <f t="shared" si="22"/>
        <v>0</v>
      </c>
      <c r="J124" s="23">
        <v>0</v>
      </c>
      <c r="K124" s="23">
        <v>0</v>
      </c>
      <c r="L124" s="70">
        <f t="shared" si="23"/>
        <v>0</v>
      </c>
      <c r="M124" s="23">
        <v>11</v>
      </c>
      <c r="N124" s="23">
        <v>3</v>
      </c>
      <c r="O124" s="23">
        <v>0</v>
      </c>
      <c r="P124" s="23">
        <v>0</v>
      </c>
      <c r="Q124" s="23">
        <v>2</v>
      </c>
      <c r="R124" s="25">
        <v>12</v>
      </c>
    </row>
    <row r="125" spans="1:18" x14ac:dyDescent="0.25">
      <c r="A125" s="43">
        <v>42216</v>
      </c>
      <c r="B125" s="43"/>
      <c r="C125" s="15" t="s">
        <v>99</v>
      </c>
      <c r="D125" s="44">
        <v>3</v>
      </c>
      <c r="E125" s="23">
        <v>5</v>
      </c>
      <c r="F125" s="38">
        <f t="shared" si="21"/>
        <v>0.6</v>
      </c>
      <c r="G125" s="23">
        <v>2</v>
      </c>
      <c r="H125" s="23">
        <v>3</v>
      </c>
      <c r="I125" s="38">
        <f t="shared" si="22"/>
        <v>0.66666666666666663</v>
      </c>
      <c r="J125" s="23">
        <v>0</v>
      </c>
      <c r="K125" s="23">
        <v>0</v>
      </c>
      <c r="L125" s="70">
        <f t="shared" si="23"/>
        <v>0</v>
      </c>
      <c r="M125" s="23">
        <v>4</v>
      </c>
      <c r="N125" s="23">
        <v>5</v>
      </c>
      <c r="O125" s="23">
        <v>0</v>
      </c>
      <c r="P125" s="23">
        <v>2</v>
      </c>
      <c r="Q125" s="23">
        <v>0</v>
      </c>
      <c r="R125" s="25">
        <v>8</v>
      </c>
    </row>
    <row r="126" spans="1:18" x14ac:dyDescent="0.25">
      <c r="A126" s="43">
        <v>42216</v>
      </c>
      <c r="B126" s="43"/>
      <c r="C126" s="15" t="s">
        <v>148</v>
      </c>
      <c r="D126" s="44">
        <v>3</v>
      </c>
      <c r="E126" s="23">
        <v>5</v>
      </c>
      <c r="F126" s="38">
        <f t="shared" si="21"/>
        <v>0.6</v>
      </c>
      <c r="G126" s="23">
        <v>0</v>
      </c>
      <c r="H126" s="23">
        <v>0</v>
      </c>
      <c r="I126" s="38">
        <f t="shared" si="22"/>
        <v>0</v>
      </c>
      <c r="J126" s="23">
        <v>2</v>
      </c>
      <c r="K126" s="23">
        <v>2</v>
      </c>
      <c r="L126" s="70">
        <f t="shared" si="23"/>
        <v>1</v>
      </c>
      <c r="M126" s="23">
        <v>3</v>
      </c>
      <c r="N126" s="23">
        <v>1</v>
      </c>
      <c r="O126" s="23">
        <v>0</v>
      </c>
      <c r="P126" s="23">
        <v>1</v>
      </c>
      <c r="Q126" s="23">
        <v>0</v>
      </c>
      <c r="R126" s="25">
        <v>8</v>
      </c>
    </row>
    <row r="127" spans="1:18" x14ac:dyDescent="0.25">
      <c r="A127" s="43">
        <v>42216</v>
      </c>
      <c r="B127" s="43"/>
      <c r="C127" s="15" t="s">
        <v>91</v>
      </c>
      <c r="D127" s="44">
        <v>4</v>
      </c>
      <c r="E127" s="23">
        <v>6</v>
      </c>
      <c r="F127" s="38">
        <f t="shared" si="21"/>
        <v>0.66666666666666663</v>
      </c>
      <c r="G127" s="23">
        <v>0</v>
      </c>
      <c r="H127" s="23">
        <v>0</v>
      </c>
      <c r="I127" s="38">
        <f t="shared" si="22"/>
        <v>0</v>
      </c>
      <c r="J127" s="23">
        <v>2</v>
      </c>
      <c r="K127" s="23">
        <v>2</v>
      </c>
      <c r="L127" s="70">
        <f t="shared" si="23"/>
        <v>1</v>
      </c>
      <c r="M127" s="23">
        <v>7</v>
      </c>
      <c r="N127" s="23">
        <v>0</v>
      </c>
      <c r="O127" s="23">
        <v>4</v>
      </c>
      <c r="P127" s="23">
        <v>0</v>
      </c>
      <c r="Q127" s="23">
        <v>1</v>
      </c>
      <c r="R127" s="25">
        <v>10</v>
      </c>
    </row>
    <row r="128" spans="1:18" x14ac:dyDescent="0.25">
      <c r="A128" s="77">
        <v>42217</v>
      </c>
      <c r="B128" s="43"/>
      <c r="C128" s="20" t="s">
        <v>59</v>
      </c>
      <c r="D128" s="44">
        <v>3</v>
      </c>
      <c r="E128" s="23">
        <v>8</v>
      </c>
      <c r="F128" s="38">
        <f t="shared" ref="F128:F133" si="24">IF(E128=0,0,D128/E128)</f>
        <v>0.375</v>
      </c>
      <c r="G128" s="23">
        <v>0</v>
      </c>
      <c r="H128" s="23">
        <v>0</v>
      </c>
      <c r="I128" s="38">
        <f t="shared" ref="I128:I133" si="25">IF(H128=0,0,G128/H128)</f>
        <v>0</v>
      </c>
      <c r="J128" s="23">
        <v>6</v>
      </c>
      <c r="K128" s="23">
        <v>6</v>
      </c>
      <c r="L128" s="75">
        <f t="shared" ref="L128:L133" si="26">IF(K128=0,0,J128/K128)</f>
        <v>1</v>
      </c>
      <c r="M128" s="23">
        <v>3</v>
      </c>
      <c r="N128" s="23">
        <v>4</v>
      </c>
      <c r="O128" s="23">
        <v>0</v>
      </c>
      <c r="P128" s="23">
        <v>1</v>
      </c>
      <c r="Q128" s="23">
        <v>0</v>
      </c>
      <c r="R128" s="25">
        <v>12</v>
      </c>
    </row>
    <row r="129" spans="1:18" x14ac:dyDescent="0.25">
      <c r="A129" s="77">
        <v>42217</v>
      </c>
      <c r="B129" s="43"/>
      <c r="C129" s="20" t="s">
        <v>111</v>
      </c>
      <c r="D129" s="44">
        <v>0</v>
      </c>
      <c r="E129" s="23">
        <v>3</v>
      </c>
      <c r="F129" s="38">
        <f t="shared" si="24"/>
        <v>0</v>
      </c>
      <c r="G129" s="23">
        <v>0</v>
      </c>
      <c r="H129" s="23">
        <v>2</v>
      </c>
      <c r="I129" s="38">
        <f t="shared" si="25"/>
        <v>0</v>
      </c>
      <c r="J129" s="23">
        <v>1</v>
      </c>
      <c r="K129" s="23">
        <v>2</v>
      </c>
      <c r="L129" s="75">
        <f t="shared" si="26"/>
        <v>0.5</v>
      </c>
      <c r="M129" s="23">
        <v>4</v>
      </c>
      <c r="N129" s="23">
        <v>0</v>
      </c>
      <c r="O129" s="23">
        <v>0</v>
      </c>
      <c r="P129" s="23">
        <v>0</v>
      </c>
      <c r="Q129" s="23">
        <v>0</v>
      </c>
      <c r="R129" s="25">
        <v>1</v>
      </c>
    </row>
    <row r="130" spans="1:18" x14ac:dyDescent="0.25">
      <c r="A130" s="73">
        <v>42218</v>
      </c>
      <c r="B130" s="20"/>
      <c r="C130" s="20" t="s">
        <v>58</v>
      </c>
      <c r="D130" s="16">
        <v>5</v>
      </c>
      <c r="E130" s="16">
        <v>14</v>
      </c>
      <c r="F130" s="75">
        <f t="shared" si="24"/>
        <v>0.35714285714285715</v>
      </c>
      <c r="G130" s="16">
        <v>0</v>
      </c>
      <c r="H130" s="16">
        <v>1</v>
      </c>
      <c r="I130" s="75">
        <f t="shared" si="25"/>
        <v>0</v>
      </c>
      <c r="J130" s="16">
        <v>0</v>
      </c>
      <c r="K130" s="16">
        <v>0</v>
      </c>
      <c r="L130" s="75">
        <f t="shared" si="26"/>
        <v>0</v>
      </c>
      <c r="M130" s="16">
        <v>6</v>
      </c>
      <c r="N130" s="16">
        <v>0</v>
      </c>
      <c r="O130" s="16">
        <v>0</v>
      </c>
      <c r="P130" s="16">
        <v>1</v>
      </c>
      <c r="Q130" s="16">
        <v>2</v>
      </c>
      <c r="R130" s="16">
        <v>10</v>
      </c>
    </row>
    <row r="131" spans="1:18" x14ac:dyDescent="0.25">
      <c r="A131" s="73">
        <v>42218</v>
      </c>
      <c r="B131" s="20"/>
      <c r="C131" s="20" t="s">
        <v>147</v>
      </c>
      <c r="D131" s="16">
        <v>2</v>
      </c>
      <c r="E131" s="16">
        <v>4</v>
      </c>
      <c r="F131" s="75">
        <f t="shared" si="24"/>
        <v>0.5</v>
      </c>
      <c r="G131" s="16">
        <v>1</v>
      </c>
      <c r="H131" s="16">
        <v>1</v>
      </c>
      <c r="I131" s="75">
        <f t="shared" si="25"/>
        <v>1</v>
      </c>
      <c r="J131" s="16">
        <v>0</v>
      </c>
      <c r="K131" s="16">
        <v>0</v>
      </c>
      <c r="L131" s="75">
        <f t="shared" si="26"/>
        <v>0</v>
      </c>
      <c r="M131" s="16">
        <v>2</v>
      </c>
      <c r="N131" s="16">
        <v>1</v>
      </c>
      <c r="O131" s="16">
        <v>0</v>
      </c>
      <c r="P131" s="16">
        <v>1</v>
      </c>
      <c r="Q131" s="16">
        <v>0</v>
      </c>
      <c r="R131" s="16">
        <v>5</v>
      </c>
    </row>
    <row r="132" spans="1:18" x14ac:dyDescent="0.25">
      <c r="A132" s="73">
        <v>42218</v>
      </c>
      <c r="B132" s="20"/>
      <c r="C132" s="20" t="s">
        <v>91</v>
      </c>
      <c r="D132" s="16">
        <v>7</v>
      </c>
      <c r="E132" s="16">
        <v>10</v>
      </c>
      <c r="F132" s="75">
        <f t="shared" si="24"/>
        <v>0.7</v>
      </c>
      <c r="G132" s="16">
        <v>1</v>
      </c>
      <c r="H132" s="16">
        <v>2</v>
      </c>
      <c r="I132" s="75">
        <f t="shared" si="25"/>
        <v>0.5</v>
      </c>
      <c r="J132" s="16">
        <v>0</v>
      </c>
      <c r="K132" s="16">
        <v>0</v>
      </c>
      <c r="L132" s="75">
        <f t="shared" si="26"/>
        <v>0</v>
      </c>
      <c r="M132" s="16">
        <v>4</v>
      </c>
      <c r="N132" s="16">
        <v>7</v>
      </c>
      <c r="O132" s="16">
        <v>1</v>
      </c>
      <c r="P132" s="16">
        <v>1</v>
      </c>
      <c r="Q132" s="16">
        <v>1</v>
      </c>
      <c r="R132" s="16">
        <v>15</v>
      </c>
    </row>
    <row r="133" spans="1:18" x14ac:dyDescent="0.25">
      <c r="A133" s="73">
        <v>42218</v>
      </c>
      <c r="B133" s="20"/>
      <c r="C133" s="20" t="s">
        <v>92</v>
      </c>
      <c r="D133" s="16">
        <v>5</v>
      </c>
      <c r="E133" s="16">
        <v>9</v>
      </c>
      <c r="F133" s="75">
        <f t="shared" si="24"/>
        <v>0.55555555555555558</v>
      </c>
      <c r="G133" s="16">
        <v>0</v>
      </c>
      <c r="H133" s="16">
        <v>0</v>
      </c>
      <c r="I133" s="75">
        <f t="shared" si="25"/>
        <v>0</v>
      </c>
      <c r="J133" s="16">
        <v>2</v>
      </c>
      <c r="K133" s="16">
        <v>2</v>
      </c>
      <c r="L133" s="75">
        <f t="shared" si="26"/>
        <v>1</v>
      </c>
      <c r="M133" s="16">
        <v>4</v>
      </c>
      <c r="N133" s="16">
        <v>1</v>
      </c>
      <c r="O133" s="16">
        <v>1</v>
      </c>
      <c r="P133" s="16">
        <v>3</v>
      </c>
      <c r="Q133" s="16">
        <v>0</v>
      </c>
      <c r="R133" s="16">
        <v>12</v>
      </c>
    </row>
    <row r="134" spans="1:18" x14ac:dyDescent="0.25">
      <c r="A134" s="73">
        <v>42220</v>
      </c>
      <c r="B134" s="20"/>
      <c r="C134" s="15" t="s">
        <v>91</v>
      </c>
      <c r="D134" s="16">
        <v>5</v>
      </c>
      <c r="E134" s="16">
        <v>12</v>
      </c>
      <c r="F134" s="76">
        <f t="shared" ref="F134:F151" si="27">IF(E134=0,0,D134/E134)</f>
        <v>0.41666666666666669</v>
      </c>
      <c r="G134" s="16">
        <v>0</v>
      </c>
      <c r="H134" s="16">
        <v>2</v>
      </c>
      <c r="I134" s="76">
        <f t="shared" ref="I134:I151" si="28">IF(H134=0,0,G134/H134)</f>
        <v>0</v>
      </c>
      <c r="J134" s="16">
        <v>0</v>
      </c>
      <c r="K134" s="16">
        <v>0</v>
      </c>
      <c r="L134" s="76">
        <f t="shared" ref="L134:L151" si="29">IF(K134=0,0,J134/K134)</f>
        <v>0</v>
      </c>
      <c r="M134" s="16">
        <v>3</v>
      </c>
      <c r="N134" s="16">
        <v>7</v>
      </c>
      <c r="O134" s="16">
        <v>1</v>
      </c>
      <c r="P134" s="16">
        <v>0</v>
      </c>
      <c r="Q134" s="16">
        <v>0</v>
      </c>
      <c r="R134" s="16">
        <v>10</v>
      </c>
    </row>
    <row r="135" spans="1:18" x14ac:dyDescent="0.25">
      <c r="A135" s="73">
        <v>42220</v>
      </c>
      <c r="B135" s="20"/>
      <c r="C135" s="15" t="s">
        <v>59</v>
      </c>
      <c r="D135" s="16">
        <v>6</v>
      </c>
      <c r="E135" s="16">
        <v>10</v>
      </c>
      <c r="F135" s="76">
        <f t="shared" si="27"/>
        <v>0.6</v>
      </c>
      <c r="G135" s="16">
        <v>1</v>
      </c>
      <c r="H135" s="16">
        <v>1</v>
      </c>
      <c r="I135" s="76">
        <f t="shared" si="28"/>
        <v>1</v>
      </c>
      <c r="J135" s="16">
        <v>0</v>
      </c>
      <c r="K135" s="16">
        <v>0</v>
      </c>
      <c r="L135" s="76">
        <f t="shared" si="29"/>
        <v>0</v>
      </c>
      <c r="M135" s="16">
        <v>4</v>
      </c>
      <c r="N135" s="16">
        <v>0</v>
      </c>
      <c r="O135" s="16">
        <v>0</v>
      </c>
      <c r="P135" s="16">
        <v>2</v>
      </c>
      <c r="Q135" s="16">
        <v>0</v>
      </c>
      <c r="R135" s="16">
        <v>13</v>
      </c>
    </row>
    <row r="136" spans="1:18" x14ac:dyDescent="0.25">
      <c r="A136" s="73">
        <v>42221</v>
      </c>
      <c r="B136" s="20"/>
      <c r="C136" s="15" t="s">
        <v>147</v>
      </c>
      <c r="D136" s="16">
        <v>3</v>
      </c>
      <c r="E136" s="16">
        <v>5</v>
      </c>
      <c r="F136" s="76">
        <f t="shared" si="27"/>
        <v>0.6</v>
      </c>
      <c r="G136" s="16">
        <v>2</v>
      </c>
      <c r="H136" s="16">
        <v>3</v>
      </c>
      <c r="I136" s="76">
        <f t="shared" si="28"/>
        <v>0.66666666666666663</v>
      </c>
      <c r="J136" s="16">
        <v>2</v>
      </c>
      <c r="K136" s="16">
        <v>2</v>
      </c>
      <c r="L136" s="76">
        <f t="shared" si="29"/>
        <v>1</v>
      </c>
      <c r="M136" s="16">
        <v>3</v>
      </c>
      <c r="N136" s="16">
        <v>1</v>
      </c>
      <c r="O136" s="16">
        <v>1</v>
      </c>
      <c r="P136" s="16">
        <v>3</v>
      </c>
      <c r="Q136" s="16">
        <v>0</v>
      </c>
      <c r="R136" s="16">
        <v>10</v>
      </c>
    </row>
    <row r="137" spans="1:18" x14ac:dyDescent="0.25">
      <c r="A137" s="73">
        <v>42221</v>
      </c>
      <c r="B137" s="20"/>
      <c r="C137" s="15" t="s">
        <v>58</v>
      </c>
      <c r="D137" s="16">
        <v>1</v>
      </c>
      <c r="E137" s="16">
        <v>2</v>
      </c>
      <c r="F137" s="76">
        <f t="shared" si="27"/>
        <v>0.5</v>
      </c>
      <c r="G137" s="16">
        <v>0</v>
      </c>
      <c r="H137" s="16">
        <v>0</v>
      </c>
      <c r="I137" s="76">
        <f t="shared" si="28"/>
        <v>0</v>
      </c>
      <c r="J137" s="16">
        <v>0</v>
      </c>
      <c r="K137" s="16">
        <v>0</v>
      </c>
      <c r="L137" s="76">
        <f t="shared" si="29"/>
        <v>0</v>
      </c>
      <c r="M137" s="16">
        <v>6</v>
      </c>
      <c r="N137" s="16">
        <v>3</v>
      </c>
      <c r="O137" s="16">
        <v>0</v>
      </c>
      <c r="P137" s="16">
        <v>0</v>
      </c>
      <c r="Q137" s="16">
        <v>3</v>
      </c>
      <c r="R137" s="16">
        <v>2</v>
      </c>
    </row>
    <row r="138" spans="1:18" x14ac:dyDescent="0.25">
      <c r="A138" s="73">
        <v>42222</v>
      </c>
      <c r="B138" s="20"/>
      <c r="C138" s="15" t="s">
        <v>111</v>
      </c>
      <c r="D138" s="16">
        <v>1</v>
      </c>
      <c r="E138" s="16">
        <v>7</v>
      </c>
      <c r="F138" s="76">
        <f t="shared" si="27"/>
        <v>0.14285714285714285</v>
      </c>
      <c r="G138" s="16">
        <v>0</v>
      </c>
      <c r="H138" s="16">
        <v>3</v>
      </c>
      <c r="I138" s="76">
        <f t="shared" si="28"/>
        <v>0</v>
      </c>
      <c r="J138" s="16">
        <v>0</v>
      </c>
      <c r="K138" s="16">
        <v>0</v>
      </c>
      <c r="L138" s="76">
        <f t="shared" si="29"/>
        <v>0</v>
      </c>
      <c r="M138" s="16">
        <v>3</v>
      </c>
      <c r="N138" s="16">
        <v>0</v>
      </c>
      <c r="O138" s="16">
        <v>0</v>
      </c>
      <c r="P138" s="16">
        <v>1</v>
      </c>
      <c r="Q138" s="16">
        <v>0</v>
      </c>
      <c r="R138" s="16">
        <v>2</v>
      </c>
    </row>
    <row r="139" spans="1:18" x14ac:dyDescent="0.25">
      <c r="A139" s="73">
        <v>42222</v>
      </c>
      <c r="B139" s="20"/>
      <c r="C139" s="15" t="s">
        <v>91</v>
      </c>
      <c r="D139" s="16">
        <v>5</v>
      </c>
      <c r="E139" s="16">
        <v>8</v>
      </c>
      <c r="F139" s="76">
        <f t="shared" si="27"/>
        <v>0.625</v>
      </c>
      <c r="G139" s="16">
        <v>0</v>
      </c>
      <c r="H139" s="16">
        <v>0</v>
      </c>
      <c r="I139" s="76">
        <f t="shared" si="28"/>
        <v>0</v>
      </c>
      <c r="J139" s="16">
        <v>3</v>
      </c>
      <c r="K139" s="16">
        <v>3</v>
      </c>
      <c r="L139" s="76">
        <f t="shared" si="29"/>
        <v>1</v>
      </c>
      <c r="M139" s="16">
        <v>7</v>
      </c>
      <c r="N139" s="16">
        <v>5</v>
      </c>
      <c r="O139" s="16">
        <v>0</v>
      </c>
      <c r="P139" s="16">
        <v>3</v>
      </c>
      <c r="Q139" s="16">
        <v>0</v>
      </c>
      <c r="R139" s="16">
        <v>13</v>
      </c>
    </row>
    <row r="140" spans="1:18" x14ac:dyDescent="0.25">
      <c r="A140" s="73">
        <v>42223</v>
      </c>
      <c r="B140" s="20"/>
      <c r="C140" s="15" t="s">
        <v>147</v>
      </c>
      <c r="D140" s="16">
        <v>2</v>
      </c>
      <c r="E140" s="16">
        <v>4</v>
      </c>
      <c r="F140" s="76">
        <f t="shared" si="27"/>
        <v>0.5</v>
      </c>
      <c r="G140" s="16">
        <v>1</v>
      </c>
      <c r="H140" s="16">
        <v>2</v>
      </c>
      <c r="I140" s="76">
        <f t="shared" si="28"/>
        <v>0.5</v>
      </c>
      <c r="J140" s="16">
        <v>4</v>
      </c>
      <c r="K140" s="16">
        <v>5</v>
      </c>
      <c r="L140" s="76">
        <f t="shared" si="29"/>
        <v>0.8</v>
      </c>
      <c r="M140" s="16">
        <v>1</v>
      </c>
      <c r="N140" s="16">
        <v>0</v>
      </c>
      <c r="O140" s="16">
        <v>0</v>
      </c>
      <c r="P140" s="16">
        <v>2</v>
      </c>
      <c r="Q140" s="16">
        <v>0</v>
      </c>
      <c r="R140" s="16">
        <v>9</v>
      </c>
    </row>
    <row r="141" spans="1:18" x14ac:dyDescent="0.25">
      <c r="A141" s="73">
        <v>42223</v>
      </c>
      <c r="B141" s="20"/>
      <c r="C141" s="15" t="s">
        <v>58</v>
      </c>
      <c r="D141" s="16">
        <v>7</v>
      </c>
      <c r="E141" s="16">
        <v>12</v>
      </c>
      <c r="F141" s="76">
        <f t="shared" si="27"/>
        <v>0.58333333333333337</v>
      </c>
      <c r="G141" s="16">
        <v>1</v>
      </c>
      <c r="H141" s="16">
        <v>2</v>
      </c>
      <c r="I141" s="76">
        <f t="shared" si="28"/>
        <v>0.5</v>
      </c>
      <c r="J141" s="16">
        <v>0</v>
      </c>
      <c r="K141" s="16">
        <v>0</v>
      </c>
      <c r="L141" s="76">
        <f t="shared" si="29"/>
        <v>0</v>
      </c>
      <c r="M141" s="16">
        <v>2</v>
      </c>
      <c r="N141" s="16">
        <v>1</v>
      </c>
      <c r="O141" s="16">
        <v>0</v>
      </c>
      <c r="P141" s="16">
        <v>2</v>
      </c>
      <c r="Q141" s="16">
        <v>0</v>
      </c>
      <c r="R141" s="16">
        <v>15</v>
      </c>
    </row>
    <row r="142" spans="1:18" x14ac:dyDescent="0.25">
      <c r="A142" s="73">
        <v>42223</v>
      </c>
      <c r="B142" s="20"/>
      <c r="C142" s="15" t="s">
        <v>59</v>
      </c>
      <c r="D142" s="16">
        <v>4</v>
      </c>
      <c r="E142" s="16">
        <v>8</v>
      </c>
      <c r="F142" s="76">
        <f t="shared" si="27"/>
        <v>0.5</v>
      </c>
      <c r="G142" s="16">
        <v>0</v>
      </c>
      <c r="H142" s="16">
        <v>1</v>
      </c>
      <c r="I142" s="76">
        <f t="shared" si="28"/>
        <v>0</v>
      </c>
      <c r="J142" s="16">
        <v>0</v>
      </c>
      <c r="K142" s="16">
        <v>0</v>
      </c>
      <c r="L142" s="76">
        <f t="shared" si="29"/>
        <v>0</v>
      </c>
      <c r="M142" s="16">
        <v>2</v>
      </c>
      <c r="N142" s="16">
        <v>5</v>
      </c>
      <c r="O142" s="16">
        <v>0</v>
      </c>
      <c r="P142" s="16">
        <v>2</v>
      </c>
      <c r="Q142" s="16">
        <v>0</v>
      </c>
      <c r="R142" s="16">
        <v>8</v>
      </c>
    </row>
    <row r="143" spans="1:18" x14ac:dyDescent="0.25">
      <c r="A143" s="73">
        <v>42223</v>
      </c>
      <c r="B143" s="20"/>
      <c r="C143" s="15" t="s">
        <v>148</v>
      </c>
      <c r="D143" s="16">
        <v>2</v>
      </c>
      <c r="E143" s="16">
        <v>6</v>
      </c>
      <c r="F143" s="76">
        <f t="shared" si="27"/>
        <v>0.33333333333333331</v>
      </c>
      <c r="G143" s="16">
        <v>0</v>
      </c>
      <c r="H143" s="16">
        <v>0</v>
      </c>
      <c r="I143" s="76">
        <f t="shared" si="28"/>
        <v>0</v>
      </c>
      <c r="J143" s="16">
        <v>1</v>
      </c>
      <c r="K143" s="16">
        <v>2</v>
      </c>
      <c r="L143" s="76">
        <f t="shared" si="29"/>
        <v>0.5</v>
      </c>
      <c r="M143" s="16">
        <v>1</v>
      </c>
      <c r="N143" s="16">
        <v>0</v>
      </c>
      <c r="O143" s="16">
        <v>0</v>
      </c>
      <c r="P143" s="16">
        <v>1</v>
      </c>
      <c r="Q143" s="16">
        <v>0</v>
      </c>
      <c r="R143" s="16">
        <v>5</v>
      </c>
    </row>
    <row r="144" spans="1:18" x14ac:dyDescent="0.25">
      <c r="A144" s="73">
        <v>42224</v>
      </c>
      <c r="B144" s="20"/>
      <c r="C144" s="15" t="s">
        <v>85</v>
      </c>
      <c r="D144" s="16">
        <v>5</v>
      </c>
      <c r="E144" s="16">
        <v>6</v>
      </c>
      <c r="F144" s="76">
        <f t="shared" si="27"/>
        <v>0.83333333333333337</v>
      </c>
      <c r="G144" s="16">
        <v>2</v>
      </c>
      <c r="H144" s="16">
        <v>3</v>
      </c>
      <c r="I144" s="76">
        <f t="shared" si="28"/>
        <v>0.66666666666666663</v>
      </c>
      <c r="J144" s="16">
        <v>2</v>
      </c>
      <c r="K144" s="16">
        <v>2</v>
      </c>
      <c r="L144" s="76">
        <f t="shared" si="29"/>
        <v>1</v>
      </c>
      <c r="M144" s="16">
        <v>1</v>
      </c>
      <c r="N144" s="16">
        <v>4</v>
      </c>
      <c r="O144" s="16">
        <v>0</v>
      </c>
      <c r="P144" s="16">
        <v>1</v>
      </c>
      <c r="Q144" s="16">
        <v>0</v>
      </c>
      <c r="R144" s="16">
        <v>14</v>
      </c>
    </row>
    <row r="145" spans="1:18" x14ac:dyDescent="0.25">
      <c r="A145" s="73">
        <v>42224</v>
      </c>
      <c r="B145" s="20"/>
      <c r="C145" s="15" t="s">
        <v>92</v>
      </c>
      <c r="D145" s="16">
        <v>12</v>
      </c>
      <c r="E145" s="16">
        <v>13</v>
      </c>
      <c r="F145" s="76">
        <f t="shared" si="27"/>
        <v>0.92307692307692313</v>
      </c>
      <c r="G145" s="16">
        <v>0</v>
      </c>
      <c r="H145" s="16">
        <v>0</v>
      </c>
      <c r="I145" s="76">
        <f t="shared" si="28"/>
        <v>0</v>
      </c>
      <c r="J145" s="16">
        <v>5</v>
      </c>
      <c r="K145" s="16">
        <v>6</v>
      </c>
      <c r="L145" s="76">
        <f t="shared" si="29"/>
        <v>0.83333333333333337</v>
      </c>
      <c r="M145" s="16">
        <v>4</v>
      </c>
      <c r="N145" s="16">
        <v>1</v>
      </c>
      <c r="O145" s="16">
        <v>2</v>
      </c>
      <c r="P145" s="16">
        <v>1</v>
      </c>
      <c r="Q145" s="16">
        <v>1</v>
      </c>
      <c r="R145" s="16">
        <v>29</v>
      </c>
    </row>
    <row r="146" spans="1:18" x14ac:dyDescent="0.25">
      <c r="A146" s="71">
        <v>42225</v>
      </c>
      <c r="B146" s="20"/>
      <c r="C146" s="15" t="s">
        <v>147</v>
      </c>
      <c r="D146" s="16">
        <v>3</v>
      </c>
      <c r="E146" s="16">
        <v>6</v>
      </c>
      <c r="F146" s="76">
        <f t="shared" si="27"/>
        <v>0.5</v>
      </c>
      <c r="G146" s="16">
        <v>1</v>
      </c>
      <c r="H146" s="16">
        <v>1</v>
      </c>
      <c r="I146" s="76">
        <f t="shared" si="28"/>
        <v>1</v>
      </c>
      <c r="J146" s="16">
        <v>5</v>
      </c>
      <c r="K146" s="16">
        <v>6</v>
      </c>
      <c r="L146" s="76">
        <f t="shared" si="29"/>
        <v>0.83333333333333337</v>
      </c>
      <c r="M146" s="16">
        <v>3</v>
      </c>
      <c r="N146" s="16">
        <v>2</v>
      </c>
      <c r="O146" s="16">
        <v>0</v>
      </c>
      <c r="P146" s="16">
        <v>1</v>
      </c>
      <c r="Q146" s="16">
        <v>3</v>
      </c>
      <c r="R146" s="16">
        <v>12</v>
      </c>
    </row>
    <row r="147" spans="1:18" x14ac:dyDescent="0.25">
      <c r="A147" s="71">
        <v>42225</v>
      </c>
      <c r="B147" s="20"/>
      <c r="C147" s="15" t="s">
        <v>58</v>
      </c>
      <c r="D147" s="16">
        <v>4</v>
      </c>
      <c r="E147" s="16">
        <v>6</v>
      </c>
      <c r="F147" s="76">
        <f t="shared" si="27"/>
        <v>0.66666666666666663</v>
      </c>
      <c r="G147" s="16">
        <v>0</v>
      </c>
      <c r="H147" s="16">
        <v>0</v>
      </c>
      <c r="I147" s="76">
        <f t="shared" si="28"/>
        <v>0</v>
      </c>
      <c r="J147" s="16">
        <v>3</v>
      </c>
      <c r="K147" s="16">
        <v>4</v>
      </c>
      <c r="L147" s="76">
        <f t="shared" si="29"/>
        <v>0.75</v>
      </c>
      <c r="M147" s="16">
        <v>6</v>
      </c>
      <c r="N147" s="16">
        <v>3</v>
      </c>
      <c r="O147" s="16">
        <v>2</v>
      </c>
      <c r="P147" s="16">
        <v>1</v>
      </c>
      <c r="Q147" s="16">
        <v>2</v>
      </c>
      <c r="R147" s="16">
        <v>11</v>
      </c>
    </row>
    <row r="148" spans="1:18" x14ac:dyDescent="0.25">
      <c r="A148" s="71">
        <v>42225</v>
      </c>
      <c r="B148" s="20"/>
      <c r="C148" s="15" t="s">
        <v>111</v>
      </c>
      <c r="D148" s="16">
        <v>0</v>
      </c>
      <c r="E148" s="16">
        <v>1</v>
      </c>
      <c r="F148" s="76">
        <f t="shared" si="27"/>
        <v>0</v>
      </c>
      <c r="G148" s="16">
        <v>0</v>
      </c>
      <c r="H148" s="16">
        <v>1</v>
      </c>
      <c r="I148" s="76">
        <f t="shared" si="28"/>
        <v>0</v>
      </c>
      <c r="J148" s="16">
        <v>0</v>
      </c>
      <c r="K148" s="16">
        <v>0</v>
      </c>
      <c r="L148" s="76">
        <f t="shared" si="29"/>
        <v>0</v>
      </c>
      <c r="M148" s="16">
        <v>1</v>
      </c>
      <c r="N148" s="16">
        <v>1</v>
      </c>
      <c r="O148" s="16">
        <v>1</v>
      </c>
      <c r="P148" s="16">
        <v>1</v>
      </c>
      <c r="Q148" s="16">
        <v>0</v>
      </c>
      <c r="R148" s="16">
        <v>0</v>
      </c>
    </row>
    <row r="149" spans="1:18" x14ac:dyDescent="0.25">
      <c r="A149" s="71">
        <v>42225</v>
      </c>
      <c r="B149" s="20"/>
      <c r="C149" s="15" t="s">
        <v>148</v>
      </c>
      <c r="D149" s="16">
        <v>1</v>
      </c>
      <c r="E149" s="16">
        <v>2</v>
      </c>
      <c r="F149" s="76">
        <f t="shared" si="27"/>
        <v>0.5</v>
      </c>
      <c r="G149" s="16">
        <v>0</v>
      </c>
      <c r="H149" s="16">
        <v>0</v>
      </c>
      <c r="I149" s="76">
        <f t="shared" si="28"/>
        <v>0</v>
      </c>
      <c r="J149" s="16">
        <v>0</v>
      </c>
      <c r="K149" s="16">
        <v>0</v>
      </c>
      <c r="L149" s="76">
        <f t="shared" si="29"/>
        <v>0</v>
      </c>
      <c r="M149" s="16">
        <v>4</v>
      </c>
      <c r="N149" s="16">
        <v>1</v>
      </c>
      <c r="O149" s="16">
        <v>0</v>
      </c>
      <c r="P149" s="16">
        <v>1</v>
      </c>
      <c r="Q149" s="16">
        <v>0</v>
      </c>
      <c r="R149" s="16">
        <v>2</v>
      </c>
    </row>
    <row r="150" spans="1:18" x14ac:dyDescent="0.25">
      <c r="A150" s="71">
        <v>42225</v>
      </c>
      <c r="B150" s="20"/>
      <c r="C150" s="15" t="s">
        <v>59</v>
      </c>
      <c r="D150" s="16">
        <v>4</v>
      </c>
      <c r="E150" s="16">
        <v>11</v>
      </c>
      <c r="F150" s="76">
        <f t="shared" si="27"/>
        <v>0.36363636363636365</v>
      </c>
      <c r="G150" s="16">
        <v>0</v>
      </c>
      <c r="H150" s="16">
        <v>0</v>
      </c>
      <c r="I150" s="76">
        <f t="shared" si="28"/>
        <v>0</v>
      </c>
      <c r="J150" s="16">
        <v>2</v>
      </c>
      <c r="K150" s="16">
        <v>4</v>
      </c>
      <c r="L150" s="76">
        <f t="shared" si="29"/>
        <v>0.5</v>
      </c>
      <c r="M150" s="16">
        <v>2</v>
      </c>
      <c r="N150" s="16">
        <v>0</v>
      </c>
      <c r="O150" s="16">
        <v>0</v>
      </c>
      <c r="P150" s="16">
        <v>4</v>
      </c>
      <c r="Q150" s="16">
        <v>0</v>
      </c>
      <c r="R150" s="16">
        <v>10</v>
      </c>
    </row>
    <row r="151" spans="1:18" x14ac:dyDescent="0.25">
      <c r="A151" s="71">
        <v>42225</v>
      </c>
      <c r="B151" s="20"/>
      <c r="C151" s="15" t="s">
        <v>91</v>
      </c>
      <c r="D151" s="16">
        <v>1</v>
      </c>
      <c r="E151" s="16">
        <v>3</v>
      </c>
      <c r="F151" s="76">
        <f t="shared" si="27"/>
        <v>0.33333333333333331</v>
      </c>
      <c r="G151" s="16">
        <v>0</v>
      </c>
      <c r="H151" s="16">
        <v>0</v>
      </c>
      <c r="I151" s="76">
        <f t="shared" si="28"/>
        <v>0</v>
      </c>
      <c r="J151" s="16">
        <v>0</v>
      </c>
      <c r="K151" s="16">
        <v>0</v>
      </c>
      <c r="L151" s="76">
        <f t="shared" si="29"/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2</v>
      </c>
    </row>
    <row r="152" spans="1:18" x14ac:dyDescent="0.25">
      <c r="A152" s="79">
        <v>42227</v>
      </c>
      <c r="B152" s="60"/>
      <c r="C152" s="59" t="s">
        <v>58</v>
      </c>
      <c r="D152" s="57">
        <v>0</v>
      </c>
      <c r="E152" s="57">
        <v>4</v>
      </c>
      <c r="F152" s="78">
        <f t="shared" ref="F152:F163" si="30">IF(E152=0,0,D152/E152)</f>
        <v>0</v>
      </c>
      <c r="G152" s="57">
        <v>0</v>
      </c>
      <c r="H152" s="57">
        <v>0</v>
      </c>
      <c r="I152" s="78">
        <f t="shared" ref="I152:I163" si="31">IF(H152=0,0,G152/H152)</f>
        <v>0</v>
      </c>
      <c r="J152" s="57">
        <v>0</v>
      </c>
      <c r="K152" s="57">
        <v>0</v>
      </c>
      <c r="L152" s="78">
        <f t="shared" ref="L152:L163" si="32">IF(K152=0,0,J152/K152)</f>
        <v>0</v>
      </c>
      <c r="M152" s="57">
        <v>3</v>
      </c>
      <c r="N152" s="57">
        <v>0</v>
      </c>
      <c r="O152" s="57">
        <v>0</v>
      </c>
      <c r="P152" s="57">
        <v>1</v>
      </c>
      <c r="Q152" s="57">
        <v>2</v>
      </c>
      <c r="R152" s="57">
        <v>0</v>
      </c>
    </row>
    <row r="153" spans="1:18" x14ac:dyDescent="0.25">
      <c r="A153" s="79">
        <v>42227</v>
      </c>
      <c r="B153" s="60"/>
      <c r="C153" s="59" t="s">
        <v>148</v>
      </c>
      <c r="D153" s="57">
        <v>2</v>
      </c>
      <c r="E153" s="57">
        <v>9</v>
      </c>
      <c r="F153" s="78">
        <f t="shared" si="30"/>
        <v>0.22222222222222221</v>
      </c>
      <c r="G153" s="57">
        <v>0</v>
      </c>
      <c r="H153" s="57">
        <v>0</v>
      </c>
      <c r="I153" s="78">
        <f t="shared" si="31"/>
        <v>0</v>
      </c>
      <c r="J153" s="57">
        <v>0</v>
      </c>
      <c r="K153" s="57">
        <v>0</v>
      </c>
      <c r="L153" s="78">
        <f t="shared" si="32"/>
        <v>0</v>
      </c>
      <c r="M153" s="57">
        <v>5</v>
      </c>
      <c r="N153" s="57">
        <v>0</v>
      </c>
      <c r="O153" s="57">
        <v>1</v>
      </c>
      <c r="P153" s="57">
        <v>1</v>
      </c>
      <c r="Q153" s="57">
        <v>1</v>
      </c>
      <c r="R153" s="57">
        <v>4</v>
      </c>
    </row>
    <row r="154" spans="1:18" x14ac:dyDescent="0.25">
      <c r="A154" s="79">
        <v>42227</v>
      </c>
      <c r="B154" s="60"/>
      <c r="C154" s="59" t="s">
        <v>59</v>
      </c>
      <c r="D154" s="57">
        <v>3</v>
      </c>
      <c r="E154" s="57">
        <v>9</v>
      </c>
      <c r="F154" s="78">
        <f t="shared" si="30"/>
        <v>0.33333333333333331</v>
      </c>
      <c r="G154" s="57">
        <v>0</v>
      </c>
      <c r="H154" s="57">
        <v>0</v>
      </c>
      <c r="I154" s="78">
        <f t="shared" si="31"/>
        <v>0</v>
      </c>
      <c r="J154" s="57">
        <v>1</v>
      </c>
      <c r="K154" s="57">
        <v>2</v>
      </c>
      <c r="L154" s="78">
        <f t="shared" si="32"/>
        <v>0.5</v>
      </c>
      <c r="M154" s="57">
        <v>3</v>
      </c>
      <c r="N154" s="57">
        <v>9</v>
      </c>
      <c r="O154" s="57">
        <v>0</v>
      </c>
      <c r="P154" s="57">
        <v>0</v>
      </c>
      <c r="Q154" s="57">
        <v>0</v>
      </c>
      <c r="R154" s="57">
        <v>7</v>
      </c>
    </row>
    <row r="155" spans="1:18" x14ac:dyDescent="0.25">
      <c r="A155" s="79">
        <v>42227</v>
      </c>
      <c r="B155" s="60"/>
      <c r="C155" s="59" t="s">
        <v>85</v>
      </c>
      <c r="D155" s="57">
        <v>2</v>
      </c>
      <c r="E155" s="57">
        <v>2</v>
      </c>
      <c r="F155" s="78">
        <f t="shared" si="30"/>
        <v>1</v>
      </c>
      <c r="G155" s="57">
        <v>2</v>
      </c>
      <c r="H155" s="57">
        <v>2</v>
      </c>
      <c r="I155" s="78">
        <f t="shared" si="31"/>
        <v>1</v>
      </c>
      <c r="J155" s="57">
        <v>2</v>
      </c>
      <c r="K155" s="57">
        <v>2</v>
      </c>
      <c r="L155" s="78">
        <f t="shared" si="32"/>
        <v>1</v>
      </c>
      <c r="M155" s="57">
        <v>3</v>
      </c>
      <c r="N155" s="57">
        <v>4</v>
      </c>
      <c r="O155" s="57">
        <v>2</v>
      </c>
      <c r="P155" s="57">
        <v>0</v>
      </c>
      <c r="Q155" s="57">
        <v>1</v>
      </c>
      <c r="R155" s="57">
        <v>8</v>
      </c>
    </row>
    <row r="156" spans="1:18" x14ac:dyDescent="0.25">
      <c r="A156" s="79">
        <v>42227</v>
      </c>
      <c r="B156" s="60"/>
      <c r="C156" s="59" t="s">
        <v>92</v>
      </c>
      <c r="D156" s="57">
        <v>9</v>
      </c>
      <c r="E156" s="57">
        <v>14</v>
      </c>
      <c r="F156" s="78">
        <f t="shared" si="30"/>
        <v>0.6428571428571429</v>
      </c>
      <c r="G156" s="57">
        <v>0</v>
      </c>
      <c r="H156" s="57">
        <v>1</v>
      </c>
      <c r="I156" s="78">
        <f t="shared" si="31"/>
        <v>0</v>
      </c>
      <c r="J156" s="57">
        <v>0</v>
      </c>
      <c r="K156" s="57">
        <v>0</v>
      </c>
      <c r="L156" s="78">
        <f t="shared" si="32"/>
        <v>0</v>
      </c>
      <c r="M156" s="57">
        <v>6</v>
      </c>
      <c r="N156" s="57">
        <v>1</v>
      </c>
      <c r="O156" s="57">
        <v>2</v>
      </c>
      <c r="P156" s="57">
        <v>1</v>
      </c>
      <c r="Q156" s="57">
        <v>1</v>
      </c>
      <c r="R156" s="57">
        <v>18</v>
      </c>
    </row>
    <row r="157" spans="1:18" x14ac:dyDescent="0.25">
      <c r="A157" s="79">
        <v>42228</v>
      </c>
      <c r="B157" s="60"/>
      <c r="C157" s="59" t="s">
        <v>85</v>
      </c>
      <c r="D157" s="57">
        <v>1</v>
      </c>
      <c r="E157" s="57">
        <v>3</v>
      </c>
      <c r="F157" s="78">
        <f t="shared" si="30"/>
        <v>0.33333333333333331</v>
      </c>
      <c r="G157" s="57">
        <v>1</v>
      </c>
      <c r="H157" s="57">
        <v>2</v>
      </c>
      <c r="I157" s="78">
        <f t="shared" si="31"/>
        <v>0.5</v>
      </c>
      <c r="J157" s="57">
        <v>2</v>
      </c>
      <c r="K157" s="57">
        <v>2</v>
      </c>
      <c r="L157" s="78">
        <f t="shared" si="32"/>
        <v>1</v>
      </c>
      <c r="M157" s="57">
        <v>0</v>
      </c>
      <c r="N157" s="57">
        <v>2</v>
      </c>
      <c r="O157" s="57">
        <v>1</v>
      </c>
      <c r="P157" s="57">
        <v>2</v>
      </c>
      <c r="Q157" s="57">
        <v>0</v>
      </c>
      <c r="R157" s="57">
        <v>5</v>
      </c>
    </row>
    <row r="158" spans="1:18" x14ac:dyDescent="0.25">
      <c r="A158" s="79">
        <v>42228</v>
      </c>
      <c r="B158" s="60"/>
      <c r="C158" s="59" t="s">
        <v>92</v>
      </c>
      <c r="D158" s="57">
        <v>3</v>
      </c>
      <c r="E158" s="57">
        <v>10</v>
      </c>
      <c r="F158" s="78">
        <f t="shared" si="30"/>
        <v>0.3</v>
      </c>
      <c r="G158" s="57">
        <v>0</v>
      </c>
      <c r="H158" s="57">
        <v>0</v>
      </c>
      <c r="I158" s="78">
        <f t="shared" si="31"/>
        <v>0</v>
      </c>
      <c r="J158" s="57">
        <v>1</v>
      </c>
      <c r="K158" s="57">
        <v>2</v>
      </c>
      <c r="L158" s="78">
        <f t="shared" si="32"/>
        <v>0.5</v>
      </c>
      <c r="M158" s="57">
        <v>7</v>
      </c>
      <c r="N158" s="57">
        <v>1</v>
      </c>
      <c r="O158" s="57">
        <v>1</v>
      </c>
      <c r="P158" s="57">
        <v>3</v>
      </c>
      <c r="Q158" s="57">
        <v>0</v>
      </c>
      <c r="R158" s="57">
        <v>7</v>
      </c>
    </row>
    <row r="159" spans="1:18" x14ac:dyDescent="0.25">
      <c r="A159" s="79">
        <v>42228</v>
      </c>
      <c r="B159" s="60"/>
      <c r="C159" s="59" t="s">
        <v>111</v>
      </c>
      <c r="D159" s="57">
        <v>1</v>
      </c>
      <c r="E159" s="57">
        <v>5</v>
      </c>
      <c r="F159" s="78">
        <f t="shared" si="30"/>
        <v>0.2</v>
      </c>
      <c r="G159" s="57">
        <v>1</v>
      </c>
      <c r="H159" s="57">
        <v>3</v>
      </c>
      <c r="I159" s="78">
        <f t="shared" si="31"/>
        <v>0.33333333333333331</v>
      </c>
      <c r="J159" s="57">
        <v>0</v>
      </c>
      <c r="K159" s="57">
        <v>0</v>
      </c>
      <c r="L159" s="78">
        <f t="shared" si="32"/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3</v>
      </c>
    </row>
    <row r="160" spans="1:18" x14ac:dyDescent="0.25">
      <c r="A160" s="79">
        <v>42230</v>
      </c>
      <c r="B160" s="60"/>
      <c r="C160" s="59" t="s">
        <v>59</v>
      </c>
      <c r="D160" s="57">
        <v>3</v>
      </c>
      <c r="E160" s="57">
        <v>4</v>
      </c>
      <c r="F160" s="78">
        <f t="shared" si="30"/>
        <v>0.75</v>
      </c>
      <c r="G160" s="57">
        <v>0</v>
      </c>
      <c r="H160" s="57">
        <v>0</v>
      </c>
      <c r="I160" s="78">
        <f t="shared" si="31"/>
        <v>0</v>
      </c>
      <c r="J160" s="57">
        <v>0</v>
      </c>
      <c r="K160" s="57">
        <v>0</v>
      </c>
      <c r="L160" s="78">
        <f t="shared" si="32"/>
        <v>0</v>
      </c>
      <c r="M160" s="57">
        <v>3</v>
      </c>
      <c r="N160" s="57">
        <v>8</v>
      </c>
      <c r="O160" s="57">
        <v>1</v>
      </c>
      <c r="P160" s="57">
        <v>1</v>
      </c>
      <c r="Q160" s="57">
        <v>1</v>
      </c>
      <c r="R160" s="57">
        <v>6</v>
      </c>
    </row>
    <row r="161" spans="1:18" x14ac:dyDescent="0.25">
      <c r="A161" s="79">
        <v>42230</v>
      </c>
      <c r="B161" s="60"/>
      <c r="C161" s="59" t="s">
        <v>148</v>
      </c>
      <c r="D161" s="57">
        <v>2</v>
      </c>
      <c r="E161" s="57">
        <v>8</v>
      </c>
      <c r="F161" s="78">
        <f t="shared" si="30"/>
        <v>0.25</v>
      </c>
      <c r="G161" s="57">
        <v>0</v>
      </c>
      <c r="H161" s="57">
        <v>0</v>
      </c>
      <c r="I161" s="78">
        <f t="shared" si="31"/>
        <v>0</v>
      </c>
      <c r="J161" s="57">
        <v>0</v>
      </c>
      <c r="K161" s="57">
        <v>0</v>
      </c>
      <c r="L161" s="78">
        <f t="shared" si="32"/>
        <v>0</v>
      </c>
      <c r="M161" s="57">
        <v>4</v>
      </c>
      <c r="N161" s="57">
        <v>0</v>
      </c>
      <c r="O161" s="57">
        <v>1</v>
      </c>
      <c r="P161" s="57">
        <v>0</v>
      </c>
      <c r="Q161" s="57">
        <v>0</v>
      </c>
      <c r="R161" s="57">
        <v>4</v>
      </c>
    </row>
    <row r="162" spans="1:18" x14ac:dyDescent="0.25">
      <c r="A162" s="79">
        <v>42230</v>
      </c>
      <c r="B162" s="60"/>
      <c r="C162" s="59" t="s">
        <v>92</v>
      </c>
      <c r="D162" s="57">
        <v>4</v>
      </c>
      <c r="E162" s="57">
        <v>6</v>
      </c>
      <c r="F162" s="78">
        <f t="shared" si="30"/>
        <v>0.66666666666666663</v>
      </c>
      <c r="G162" s="57">
        <v>0</v>
      </c>
      <c r="H162" s="57">
        <v>0</v>
      </c>
      <c r="I162" s="78">
        <f t="shared" si="31"/>
        <v>0</v>
      </c>
      <c r="J162" s="57">
        <v>5</v>
      </c>
      <c r="K162" s="57">
        <v>9</v>
      </c>
      <c r="L162" s="78">
        <f t="shared" si="32"/>
        <v>0.55555555555555558</v>
      </c>
      <c r="M162" s="57">
        <v>8</v>
      </c>
      <c r="N162" s="57">
        <v>1</v>
      </c>
      <c r="O162" s="57">
        <v>2</v>
      </c>
      <c r="P162" s="57">
        <v>4</v>
      </c>
      <c r="Q162" s="57">
        <v>0</v>
      </c>
      <c r="R162" s="57">
        <v>13</v>
      </c>
    </row>
    <row r="163" spans="1:18" x14ac:dyDescent="0.25">
      <c r="A163" s="79">
        <v>42230</v>
      </c>
      <c r="B163" s="60"/>
      <c r="C163" s="59" t="s">
        <v>85</v>
      </c>
      <c r="D163" s="57">
        <v>1</v>
      </c>
      <c r="E163" s="57">
        <v>3</v>
      </c>
      <c r="F163" s="78">
        <f t="shared" si="30"/>
        <v>0.33333333333333331</v>
      </c>
      <c r="G163" s="57">
        <v>1</v>
      </c>
      <c r="H163" s="57">
        <v>2</v>
      </c>
      <c r="I163" s="78">
        <f t="shared" si="31"/>
        <v>0.5</v>
      </c>
      <c r="J163" s="57">
        <v>2</v>
      </c>
      <c r="K163" s="57">
        <v>2</v>
      </c>
      <c r="L163" s="78">
        <f t="shared" si="32"/>
        <v>1</v>
      </c>
      <c r="M163" s="57">
        <v>5</v>
      </c>
      <c r="N163" s="57">
        <v>6</v>
      </c>
      <c r="O163" s="57">
        <v>1</v>
      </c>
      <c r="P163" s="57">
        <v>2</v>
      </c>
      <c r="Q163" s="57">
        <v>0</v>
      </c>
      <c r="R163" s="57">
        <v>5</v>
      </c>
    </row>
    <row r="164" spans="1:18" x14ac:dyDescent="0.25">
      <c r="A164" s="43">
        <v>42231</v>
      </c>
      <c r="B164" s="47"/>
      <c r="C164" s="81" t="s">
        <v>111</v>
      </c>
      <c r="D164" s="84">
        <v>0</v>
      </c>
      <c r="E164" s="84">
        <v>0</v>
      </c>
      <c r="F164" s="85">
        <f t="shared" ref="F164:F170" si="33">IF(E164=0,0,D164/E164)</f>
        <v>0</v>
      </c>
      <c r="G164" s="84">
        <v>0</v>
      </c>
      <c r="H164" s="84">
        <v>0</v>
      </c>
      <c r="I164" s="85">
        <f t="shared" ref="I164:I170" si="34">IF(H164=0,0,G164/H164)</f>
        <v>0</v>
      </c>
      <c r="J164" s="84">
        <v>0</v>
      </c>
      <c r="K164" s="84">
        <v>0</v>
      </c>
      <c r="L164" s="85">
        <f t="shared" ref="L164:L170" si="35">IF(K164=0,0,J164/K164)</f>
        <v>0</v>
      </c>
      <c r="M164" s="84">
        <v>1</v>
      </c>
      <c r="N164" s="84">
        <v>0</v>
      </c>
      <c r="O164" s="84">
        <v>0</v>
      </c>
      <c r="P164" s="84">
        <v>0</v>
      </c>
      <c r="Q164" s="84">
        <v>0</v>
      </c>
      <c r="R164" s="84">
        <v>0</v>
      </c>
    </row>
    <row r="165" spans="1:18" x14ac:dyDescent="0.25">
      <c r="A165" s="43">
        <v>42232</v>
      </c>
      <c r="B165" s="47"/>
      <c r="C165" s="80" t="s">
        <v>147</v>
      </c>
      <c r="D165" s="84">
        <v>2</v>
      </c>
      <c r="E165" s="84">
        <v>7</v>
      </c>
      <c r="F165" s="85">
        <f t="shared" si="33"/>
        <v>0.2857142857142857</v>
      </c>
      <c r="G165" s="84">
        <v>1</v>
      </c>
      <c r="H165" s="84">
        <v>1</v>
      </c>
      <c r="I165" s="85">
        <f t="shared" si="34"/>
        <v>1</v>
      </c>
      <c r="J165" s="84">
        <v>5</v>
      </c>
      <c r="K165" s="84">
        <v>6</v>
      </c>
      <c r="L165" s="85">
        <f t="shared" si="35"/>
        <v>0.83333333333333337</v>
      </c>
      <c r="M165" s="84">
        <v>3</v>
      </c>
      <c r="N165" s="84">
        <v>2</v>
      </c>
      <c r="O165" s="84">
        <v>3</v>
      </c>
      <c r="P165" s="84">
        <v>0</v>
      </c>
      <c r="Q165" s="84">
        <v>0</v>
      </c>
      <c r="R165" s="84">
        <v>10</v>
      </c>
    </row>
    <row r="166" spans="1:18" x14ac:dyDescent="0.25">
      <c r="A166" s="43">
        <v>42232</v>
      </c>
      <c r="B166" s="47"/>
      <c r="C166" s="80" t="s">
        <v>58</v>
      </c>
      <c r="D166" s="84">
        <v>5</v>
      </c>
      <c r="E166" s="84">
        <v>5</v>
      </c>
      <c r="F166" s="85">
        <f t="shared" si="33"/>
        <v>1</v>
      </c>
      <c r="G166" s="84">
        <v>0</v>
      </c>
      <c r="H166" s="84">
        <v>0</v>
      </c>
      <c r="I166" s="85">
        <f t="shared" si="34"/>
        <v>0</v>
      </c>
      <c r="J166" s="84">
        <v>0</v>
      </c>
      <c r="K166" s="84">
        <v>0</v>
      </c>
      <c r="L166" s="85">
        <f t="shared" si="35"/>
        <v>0</v>
      </c>
      <c r="M166" s="84">
        <v>2</v>
      </c>
      <c r="N166" s="84">
        <v>1</v>
      </c>
      <c r="O166" s="84">
        <v>0</v>
      </c>
      <c r="P166" s="84">
        <v>1</v>
      </c>
      <c r="Q166" s="84">
        <v>0</v>
      </c>
      <c r="R166" s="84">
        <v>10</v>
      </c>
    </row>
    <row r="167" spans="1:18" x14ac:dyDescent="0.25">
      <c r="A167" s="43">
        <v>42232</v>
      </c>
      <c r="B167" s="47"/>
      <c r="C167" s="80" t="s">
        <v>59</v>
      </c>
      <c r="D167" s="84">
        <v>6</v>
      </c>
      <c r="E167" s="84">
        <v>9</v>
      </c>
      <c r="F167" s="85">
        <f t="shared" si="33"/>
        <v>0.66666666666666663</v>
      </c>
      <c r="G167" s="84">
        <v>0</v>
      </c>
      <c r="H167" s="84">
        <v>0</v>
      </c>
      <c r="I167" s="85">
        <f t="shared" si="34"/>
        <v>0</v>
      </c>
      <c r="J167" s="84">
        <v>1</v>
      </c>
      <c r="K167" s="84">
        <v>1</v>
      </c>
      <c r="L167" s="85">
        <f t="shared" si="35"/>
        <v>1</v>
      </c>
      <c r="M167" s="84">
        <v>10</v>
      </c>
      <c r="N167" s="84">
        <v>4</v>
      </c>
      <c r="O167" s="84">
        <v>1</v>
      </c>
      <c r="P167" s="84">
        <v>2</v>
      </c>
      <c r="Q167" s="84">
        <v>0</v>
      </c>
      <c r="R167" s="84">
        <v>13</v>
      </c>
    </row>
    <row r="168" spans="1:18" x14ac:dyDescent="0.25">
      <c r="A168" s="43">
        <v>42232</v>
      </c>
      <c r="B168" s="47"/>
      <c r="C168" s="22" t="s">
        <v>143</v>
      </c>
      <c r="D168" s="84">
        <v>8</v>
      </c>
      <c r="E168" s="84">
        <v>15</v>
      </c>
      <c r="F168" s="85">
        <f t="shared" si="33"/>
        <v>0.53333333333333333</v>
      </c>
      <c r="G168" s="84">
        <v>0</v>
      </c>
      <c r="H168" s="84">
        <v>1</v>
      </c>
      <c r="I168" s="85">
        <f t="shared" si="34"/>
        <v>0</v>
      </c>
      <c r="J168" s="84">
        <v>3</v>
      </c>
      <c r="K168" s="84">
        <v>3</v>
      </c>
      <c r="L168" s="85">
        <f t="shared" si="35"/>
        <v>1</v>
      </c>
      <c r="M168" s="84">
        <v>4</v>
      </c>
      <c r="N168" s="84">
        <v>1</v>
      </c>
      <c r="O168" s="84">
        <v>0</v>
      </c>
      <c r="P168" s="84">
        <v>2</v>
      </c>
      <c r="Q168" s="84">
        <v>0</v>
      </c>
      <c r="R168" s="84">
        <v>19</v>
      </c>
    </row>
    <row r="169" spans="1:18" x14ac:dyDescent="0.25">
      <c r="A169" s="43">
        <v>42232</v>
      </c>
      <c r="B169" s="47"/>
      <c r="C169" s="22" t="s">
        <v>92</v>
      </c>
      <c r="D169" s="84">
        <v>2</v>
      </c>
      <c r="E169" s="84">
        <v>8</v>
      </c>
      <c r="F169" s="85">
        <f t="shared" si="33"/>
        <v>0.25</v>
      </c>
      <c r="G169" s="84">
        <v>0</v>
      </c>
      <c r="H169" s="84">
        <v>0</v>
      </c>
      <c r="I169" s="85">
        <f t="shared" si="34"/>
        <v>0</v>
      </c>
      <c r="J169" s="84">
        <v>0</v>
      </c>
      <c r="K169" s="84">
        <v>0</v>
      </c>
      <c r="L169" s="85">
        <f t="shared" si="35"/>
        <v>0</v>
      </c>
      <c r="M169" s="84">
        <v>6</v>
      </c>
      <c r="N169" s="84">
        <v>0</v>
      </c>
      <c r="O169" s="84">
        <v>0</v>
      </c>
      <c r="P169" s="84">
        <v>6</v>
      </c>
      <c r="Q169" s="84">
        <v>0</v>
      </c>
      <c r="R169" s="84">
        <v>4</v>
      </c>
    </row>
    <row r="170" spans="1:18" x14ac:dyDescent="0.25">
      <c r="A170" s="43">
        <v>42232</v>
      </c>
      <c r="B170" s="47"/>
      <c r="C170" s="22" t="s">
        <v>85</v>
      </c>
      <c r="D170" s="84">
        <v>0</v>
      </c>
      <c r="E170" s="84">
        <v>4</v>
      </c>
      <c r="F170" s="85">
        <f t="shared" si="33"/>
        <v>0</v>
      </c>
      <c r="G170" s="84">
        <v>0</v>
      </c>
      <c r="H170" s="84">
        <v>3</v>
      </c>
      <c r="I170" s="85">
        <f t="shared" si="34"/>
        <v>0</v>
      </c>
      <c r="J170" s="84">
        <v>2</v>
      </c>
      <c r="K170" s="84">
        <v>2</v>
      </c>
      <c r="L170" s="85">
        <f t="shared" si="35"/>
        <v>1</v>
      </c>
      <c r="M170" s="84">
        <v>3</v>
      </c>
      <c r="N170" s="84">
        <v>3</v>
      </c>
      <c r="O170" s="84">
        <v>1</v>
      </c>
      <c r="P170" s="84">
        <v>4</v>
      </c>
      <c r="Q170" s="84">
        <v>0</v>
      </c>
      <c r="R170" s="84">
        <v>2</v>
      </c>
    </row>
    <row r="171" spans="1:18" x14ac:dyDescent="0.25">
      <c r="A171" s="71">
        <v>42234</v>
      </c>
      <c r="B171" s="20"/>
      <c r="C171" s="15" t="s">
        <v>143</v>
      </c>
      <c r="D171" s="16">
        <v>2</v>
      </c>
      <c r="E171" s="16">
        <v>9</v>
      </c>
      <c r="F171" s="96">
        <f t="shared" ref="F171:F187" si="36">IF(E171=0,0,D171/E171)</f>
        <v>0.22222222222222221</v>
      </c>
      <c r="G171" s="16">
        <v>0</v>
      </c>
      <c r="H171" s="16">
        <v>0</v>
      </c>
      <c r="I171" s="96">
        <f t="shared" ref="I171:I187" si="37">IF(H171=0,0,G171/H171)</f>
        <v>0</v>
      </c>
      <c r="J171" s="16">
        <v>1</v>
      </c>
      <c r="K171" s="16">
        <v>2</v>
      </c>
      <c r="L171" s="96">
        <f t="shared" ref="L171:L187" si="38">IF(K171=0,0,J171/K171)</f>
        <v>0.5</v>
      </c>
      <c r="M171" s="16">
        <v>11</v>
      </c>
      <c r="N171" s="16">
        <v>1</v>
      </c>
      <c r="O171" s="16">
        <v>0</v>
      </c>
      <c r="P171" s="16">
        <v>1</v>
      </c>
      <c r="Q171" s="16">
        <v>0</v>
      </c>
      <c r="R171" s="16">
        <v>5</v>
      </c>
    </row>
    <row r="172" spans="1:18" x14ac:dyDescent="0.25">
      <c r="A172" s="71">
        <v>42235</v>
      </c>
      <c r="B172" s="20"/>
      <c r="C172" s="15" t="s">
        <v>58</v>
      </c>
      <c r="D172" s="16">
        <v>3</v>
      </c>
      <c r="E172" s="16">
        <v>5</v>
      </c>
      <c r="F172" s="96">
        <f t="shared" si="36"/>
        <v>0.6</v>
      </c>
      <c r="G172" s="16">
        <v>0</v>
      </c>
      <c r="H172" s="16">
        <v>0</v>
      </c>
      <c r="I172" s="96">
        <f t="shared" si="37"/>
        <v>0</v>
      </c>
      <c r="J172" s="16">
        <v>0</v>
      </c>
      <c r="K172" s="16">
        <v>2</v>
      </c>
      <c r="L172" s="96">
        <f t="shared" si="38"/>
        <v>0</v>
      </c>
      <c r="M172" s="16">
        <v>5</v>
      </c>
      <c r="N172" s="16">
        <v>0</v>
      </c>
      <c r="O172" s="16">
        <v>0</v>
      </c>
      <c r="P172" s="16">
        <v>0</v>
      </c>
      <c r="Q172" s="16">
        <v>0</v>
      </c>
      <c r="R172" s="16">
        <v>6</v>
      </c>
    </row>
    <row r="173" spans="1:18" x14ac:dyDescent="0.25">
      <c r="A173" s="71">
        <v>42235</v>
      </c>
      <c r="B173" s="20"/>
      <c r="C173" s="15" t="s">
        <v>99</v>
      </c>
      <c r="D173" s="16">
        <v>6</v>
      </c>
      <c r="E173" s="16">
        <v>11</v>
      </c>
      <c r="F173" s="96">
        <f t="shared" si="36"/>
        <v>0.54545454545454541</v>
      </c>
      <c r="G173" s="16">
        <v>2</v>
      </c>
      <c r="H173" s="16">
        <v>2</v>
      </c>
      <c r="I173" s="96">
        <f t="shared" si="37"/>
        <v>1</v>
      </c>
      <c r="J173" s="16">
        <v>6</v>
      </c>
      <c r="K173" s="16">
        <v>6</v>
      </c>
      <c r="L173" s="96">
        <f t="shared" si="38"/>
        <v>1</v>
      </c>
      <c r="M173" s="16">
        <v>3</v>
      </c>
      <c r="N173" s="16">
        <v>3</v>
      </c>
      <c r="O173" s="16">
        <v>1</v>
      </c>
      <c r="P173" s="16">
        <v>2</v>
      </c>
      <c r="Q173" s="16">
        <v>0</v>
      </c>
      <c r="R173" s="16">
        <v>20</v>
      </c>
    </row>
    <row r="174" spans="1:18" x14ac:dyDescent="0.25">
      <c r="A174" s="71">
        <v>42235</v>
      </c>
      <c r="B174" s="20"/>
      <c r="C174" s="15" t="s">
        <v>59</v>
      </c>
      <c r="D174" s="16">
        <v>2</v>
      </c>
      <c r="E174" s="16">
        <v>6</v>
      </c>
      <c r="F174" s="96">
        <f t="shared" si="36"/>
        <v>0.33333333333333331</v>
      </c>
      <c r="G174" s="16">
        <v>0</v>
      </c>
      <c r="H174" s="16">
        <v>0</v>
      </c>
      <c r="I174" s="96">
        <f t="shared" si="37"/>
        <v>0</v>
      </c>
      <c r="J174" s="16">
        <v>0</v>
      </c>
      <c r="K174" s="16">
        <v>0</v>
      </c>
      <c r="L174" s="96">
        <f t="shared" si="38"/>
        <v>0</v>
      </c>
      <c r="M174" s="16">
        <v>4</v>
      </c>
      <c r="N174" s="16">
        <v>3</v>
      </c>
      <c r="O174" s="16">
        <v>0</v>
      </c>
      <c r="P174" s="16">
        <v>2</v>
      </c>
      <c r="Q174" s="16">
        <v>0</v>
      </c>
      <c r="R174" s="16">
        <v>4</v>
      </c>
    </row>
    <row r="175" spans="1:18" x14ac:dyDescent="0.25">
      <c r="A175" s="71">
        <v>42235</v>
      </c>
      <c r="B175" s="20"/>
      <c r="C175" s="15" t="s">
        <v>147</v>
      </c>
      <c r="D175" s="16">
        <v>1</v>
      </c>
      <c r="E175" s="16">
        <v>3</v>
      </c>
      <c r="F175" s="96">
        <f t="shared" si="36"/>
        <v>0.33333333333333331</v>
      </c>
      <c r="G175" s="16">
        <v>0</v>
      </c>
      <c r="H175" s="16">
        <v>0</v>
      </c>
      <c r="I175" s="96">
        <f t="shared" si="37"/>
        <v>0</v>
      </c>
      <c r="J175" s="16">
        <v>3</v>
      </c>
      <c r="K175" s="16">
        <v>4</v>
      </c>
      <c r="L175" s="96">
        <f t="shared" si="38"/>
        <v>0.75</v>
      </c>
      <c r="M175" s="16">
        <v>1</v>
      </c>
      <c r="N175" s="16">
        <v>0</v>
      </c>
      <c r="O175" s="16">
        <v>0</v>
      </c>
      <c r="P175" s="16">
        <v>0</v>
      </c>
      <c r="Q175" s="16">
        <v>0</v>
      </c>
      <c r="R175" s="16">
        <v>5</v>
      </c>
    </row>
    <row r="176" spans="1:18" x14ac:dyDescent="0.25">
      <c r="A176" s="71">
        <v>42237</v>
      </c>
      <c r="B176" s="20"/>
      <c r="C176" s="15" t="s">
        <v>58</v>
      </c>
      <c r="D176" s="16">
        <v>9</v>
      </c>
      <c r="E176" s="16">
        <v>15</v>
      </c>
      <c r="F176" s="96">
        <f t="shared" si="36"/>
        <v>0.6</v>
      </c>
      <c r="G176" s="16">
        <v>0</v>
      </c>
      <c r="H176" s="16">
        <v>0</v>
      </c>
      <c r="I176" s="96">
        <f t="shared" si="37"/>
        <v>0</v>
      </c>
      <c r="J176" s="16">
        <v>2</v>
      </c>
      <c r="K176" s="16">
        <v>2</v>
      </c>
      <c r="L176" s="96">
        <f t="shared" si="38"/>
        <v>1</v>
      </c>
      <c r="M176" s="16">
        <v>6</v>
      </c>
      <c r="N176" s="16">
        <v>3</v>
      </c>
      <c r="O176" s="16">
        <v>2</v>
      </c>
      <c r="P176" s="16">
        <v>2</v>
      </c>
      <c r="Q176" s="16">
        <v>0</v>
      </c>
      <c r="R176" s="16">
        <v>20</v>
      </c>
    </row>
    <row r="177" spans="1:18" x14ac:dyDescent="0.25">
      <c r="A177" s="71">
        <v>42237</v>
      </c>
      <c r="B177" s="20"/>
      <c r="C177" s="15" t="s">
        <v>99</v>
      </c>
      <c r="D177" s="16">
        <v>6</v>
      </c>
      <c r="E177" s="16">
        <v>10</v>
      </c>
      <c r="F177" s="96">
        <f t="shared" si="36"/>
        <v>0.6</v>
      </c>
      <c r="G177" s="16">
        <v>1</v>
      </c>
      <c r="H177" s="16">
        <v>5</v>
      </c>
      <c r="I177" s="96">
        <f t="shared" si="37"/>
        <v>0.2</v>
      </c>
      <c r="J177" s="16">
        <v>0</v>
      </c>
      <c r="K177" s="16">
        <v>0</v>
      </c>
      <c r="L177" s="96">
        <f t="shared" si="38"/>
        <v>0</v>
      </c>
      <c r="M177" s="16">
        <v>2</v>
      </c>
      <c r="N177" s="16">
        <v>4</v>
      </c>
      <c r="O177" s="16">
        <v>1</v>
      </c>
      <c r="P177" s="16">
        <v>1</v>
      </c>
      <c r="Q177" s="16">
        <v>1</v>
      </c>
      <c r="R177" s="16">
        <v>13</v>
      </c>
    </row>
    <row r="178" spans="1:18" x14ac:dyDescent="0.25">
      <c r="A178" s="71">
        <v>42237</v>
      </c>
      <c r="B178" s="20"/>
      <c r="C178" s="15" t="s">
        <v>143</v>
      </c>
      <c r="D178" s="16">
        <v>6</v>
      </c>
      <c r="E178" s="16">
        <v>10</v>
      </c>
      <c r="F178" s="96">
        <f t="shared" si="36"/>
        <v>0.6</v>
      </c>
      <c r="G178" s="16">
        <v>0</v>
      </c>
      <c r="H178" s="16">
        <v>0</v>
      </c>
      <c r="I178" s="96">
        <f t="shared" si="37"/>
        <v>0</v>
      </c>
      <c r="J178" s="16">
        <v>2</v>
      </c>
      <c r="K178" s="16">
        <v>2</v>
      </c>
      <c r="L178" s="96">
        <f t="shared" si="38"/>
        <v>1</v>
      </c>
      <c r="M178" s="16">
        <v>5</v>
      </c>
      <c r="N178" s="16">
        <v>2</v>
      </c>
      <c r="O178" s="16">
        <v>1</v>
      </c>
      <c r="P178" s="16">
        <v>2</v>
      </c>
      <c r="Q178" s="16">
        <v>0</v>
      </c>
      <c r="R178" s="16">
        <v>14</v>
      </c>
    </row>
    <row r="179" spans="1:18" x14ac:dyDescent="0.25">
      <c r="A179" s="71">
        <v>42237</v>
      </c>
      <c r="B179" s="20"/>
      <c r="C179" s="15" t="s">
        <v>85</v>
      </c>
      <c r="D179" s="16">
        <v>1</v>
      </c>
      <c r="E179" s="16">
        <v>2</v>
      </c>
      <c r="F179" s="96">
        <f t="shared" si="36"/>
        <v>0.5</v>
      </c>
      <c r="G179" s="16">
        <v>1</v>
      </c>
      <c r="H179" s="16">
        <v>2</v>
      </c>
      <c r="I179" s="96">
        <f t="shared" si="37"/>
        <v>0.5</v>
      </c>
      <c r="J179" s="16">
        <v>0</v>
      </c>
      <c r="K179" s="16">
        <v>0</v>
      </c>
      <c r="L179" s="96">
        <f t="shared" si="38"/>
        <v>0</v>
      </c>
      <c r="M179" s="16">
        <v>0</v>
      </c>
      <c r="N179" s="16">
        <v>0</v>
      </c>
      <c r="O179" s="16">
        <v>0</v>
      </c>
      <c r="P179" s="16">
        <v>4</v>
      </c>
      <c r="Q179" s="16">
        <v>1</v>
      </c>
      <c r="R179" s="16">
        <v>3</v>
      </c>
    </row>
    <row r="180" spans="1:18" x14ac:dyDescent="0.25">
      <c r="A180" s="71">
        <v>42237</v>
      </c>
      <c r="B180" s="20"/>
      <c r="C180" s="15" t="s">
        <v>92</v>
      </c>
      <c r="D180" s="16">
        <v>3</v>
      </c>
      <c r="E180" s="16">
        <v>6</v>
      </c>
      <c r="F180" s="96">
        <f t="shared" si="36"/>
        <v>0.5</v>
      </c>
      <c r="G180" s="16">
        <v>0</v>
      </c>
      <c r="H180" s="16">
        <v>0</v>
      </c>
      <c r="I180" s="96">
        <f t="shared" si="37"/>
        <v>0</v>
      </c>
      <c r="J180" s="16">
        <v>0</v>
      </c>
      <c r="K180" s="16">
        <v>2</v>
      </c>
      <c r="L180" s="96">
        <f t="shared" si="38"/>
        <v>0</v>
      </c>
      <c r="M180" s="16">
        <v>5</v>
      </c>
      <c r="N180" s="16">
        <v>2</v>
      </c>
      <c r="O180" s="16">
        <v>1</v>
      </c>
      <c r="P180" s="16">
        <v>3</v>
      </c>
      <c r="Q180" s="16">
        <v>0</v>
      </c>
      <c r="R180" s="16">
        <v>6</v>
      </c>
    </row>
    <row r="181" spans="1:18" x14ac:dyDescent="0.25">
      <c r="A181" s="71">
        <v>42237</v>
      </c>
      <c r="B181" s="20"/>
      <c r="C181" s="15" t="s">
        <v>59</v>
      </c>
      <c r="D181" s="16">
        <v>3</v>
      </c>
      <c r="E181" s="16">
        <v>9</v>
      </c>
      <c r="F181" s="96">
        <f t="shared" si="36"/>
        <v>0.33333333333333331</v>
      </c>
      <c r="G181" s="16">
        <v>1</v>
      </c>
      <c r="H181" s="16">
        <v>1</v>
      </c>
      <c r="I181" s="96">
        <f t="shared" si="37"/>
        <v>1</v>
      </c>
      <c r="J181" s="16">
        <v>5</v>
      </c>
      <c r="K181" s="16">
        <v>5</v>
      </c>
      <c r="L181" s="96">
        <f t="shared" si="38"/>
        <v>1</v>
      </c>
      <c r="M181" s="16">
        <v>1</v>
      </c>
      <c r="N181" s="16">
        <v>10</v>
      </c>
      <c r="O181" s="16">
        <v>0</v>
      </c>
      <c r="P181" s="16">
        <v>4</v>
      </c>
      <c r="Q181" s="16">
        <v>0</v>
      </c>
      <c r="R181" s="16">
        <v>12</v>
      </c>
    </row>
    <row r="182" spans="1:18" x14ac:dyDescent="0.25">
      <c r="A182" s="21">
        <v>42239</v>
      </c>
      <c r="B182" s="20"/>
      <c r="C182" s="15" t="s">
        <v>147</v>
      </c>
      <c r="D182" s="16">
        <v>2</v>
      </c>
      <c r="E182" s="16">
        <v>9</v>
      </c>
      <c r="F182" s="96">
        <f t="shared" si="36"/>
        <v>0.22222222222222221</v>
      </c>
      <c r="G182" s="16">
        <v>0</v>
      </c>
      <c r="H182" s="16">
        <v>2</v>
      </c>
      <c r="I182" s="96">
        <f t="shared" si="37"/>
        <v>0</v>
      </c>
      <c r="J182" s="16">
        <v>0</v>
      </c>
      <c r="K182" s="16">
        <v>0</v>
      </c>
      <c r="L182" s="96">
        <f t="shared" si="38"/>
        <v>0</v>
      </c>
      <c r="M182" s="16">
        <v>3</v>
      </c>
      <c r="N182" s="16">
        <v>4</v>
      </c>
      <c r="O182" s="16">
        <v>1</v>
      </c>
      <c r="P182" s="16">
        <v>1</v>
      </c>
      <c r="Q182" s="16">
        <v>1</v>
      </c>
      <c r="R182" s="16">
        <v>4</v>
      </c>
    </row>
    <row r="183" spans="1:18" x14ac:dyDescent="0.25">
      <c r="A183" s="21">
        <v>42239</v>
      </c>
      <c r="B183" s="20"/>
      <c r="C183" s="15" t="s">
        <v>58</v>
      </c>
      <c r="D183" s="16">
        <v>5</v>
      </c>
      <c r="E183" s="16">
        <v>10</v>
      </c>
      <c r="F183" s="96">
        <f t="shared" si="36"/>
        <v>0.5</v>
      </c>
      <c r="G183" s="16">
        <v>0</v>
      </c>
      <c r="H183" s="16">
        <v>0</v>
      </c>
      <c r="I183" s="96">
        <f t="shared" si="37"/>
        <v>0</v>
      </c>
      <c r="J183" s="16">
        <v>2</v>
      </c>
      <c r="K183" s="16">
        <v>2</v>
      </c>
      <c r="L183" s="96">
        <f t="shared" si="38"/>
        <v>1</v>
      </c>
      <c r="M183" s="16">
        <v>7</v>
      </c>
      <c r="N183" s="16">
        <v>1</v>
      </c>
      <c r="O183" s="16">
        <v>1</v>
      </c>
      <c r="P183" s="16">
        <v>1</v>
      </c>
      <c r="Q183" s="16">
        <v>1</v>
      </c>
      <c r="R183" s="16">
        <v>12</v>
      </c>
    </row>
    <row r="184" spans="1:18" x14ac:dyDescent="0.25">
      <c r="A184" s="21">
        <v>42239</v>
      </c>
      <c r="B184" s="20"/>
      <c r="C184" s="15" t="s">
        <v>99</v>
      </c>
      <c r="D184" s="16">
        <v>6</v>
      </c>
      <c r="E184" s="16">
        <v>14</v>
      </c>
      <c r="F184" s="96">
        <f t="shared" si="36"/>
        <v>0.42857142857142855</v>
      </c>
      <c r="G184" s="16">
        <v>3</v>
      </c>
      <c r="H184" s="16">
        <v>6</v>
      </c>
      <c r="I184" s="96">
        <f t="shared" si="37"/>
        <v>0.5</v>
      </c>
      <c r="J184" s="16">
        <v>4</v>
      </c>
      <c r="K184" s="16">
        <v>4</v>
      </c>
      <c r="L184" s="96">
        <f t="shared" si="38"/>
        <v>1</v>
      </c>
      <c r="M184" s="16">
        <v>3</v>
      </c>
      <c r="N184" s="16">
        <v>1</v>
      </c>
      <c r="O184" s="16">
        <v>0</v>
      </c>
      <c r="P184" s="16">
        <v>1</v>
      </c>
      <c r="Q184" s="16">
        <v>0</v>
      </c>
      <c r="R184" s="16">
        <v>19</v>
      </c>
    </row>
    <row r="185" spans="1:18" x14ac:dyDescent="0.25">
      <c r="A185" s="21">
        <v>42239</v>
      </c>
      <c r="B185" s="20"/>
      <c r="C185" s="15" t="s">
        <v>148</v>
      </c>
      <c r="D185" s="16">
        <v>2</v>
      </c>
      <c r="E185" s="16">
        <v>5</v>
      </c>
      <c r="F185" s="96">
        <f t="shared" si="36"/>
        <v>0.4</v>
      </c>
      <c r="G185" s="16">
        <v>0</v>
      </c>
      <c r="H185" s="16">
        <v>0</v>
      </c>
      <c r="I185" s="96">
        <f t="shared" si="37"/>
        <v>0</v>
      </c>
      <c r="J185" s="16">
        <v>6</v>
      </c>
      <c r="K185" s="16">
        <v>6</v>
      </c>
      <c r="L185" s="96">
        <f t="shared" si="38"/>
        <v>1</v>
      </c>
      <c r="M185" s="16">
        <v>5</v>
      </c>
      <c r="N185" s="16">
        <v>0</v>
      </c>
      <c r="O185" s="16">
        <v>1</v>
      </c>
      <c r="P185" s="16">
        <v>5</v>
      </c>
      <c r="Q185" s="16">
        <v>0</v>
      </c>
      <c r="R185" s="16">
        <v>10</v>
      </c>
    </row>
    <row r="186" spans="1:18" x14ac:dyDescent="0.25">
      <c r="A186" s="21">
        <v>42239</v>
      </c>
      <c r="B186" s="20"/>
      <c r="C186" s="15" t="s">
        <v>59</v>
      </c>
      <c r="D186" s="16">
        <v>3</v>
      </c>
      <c r="E186" s="16">
        <v>9</v>
      </c>
      <c r="F186" s="96">
        <f t="shared" si="36"/>
        <v>0.33333333333333331</v>
      </c>
      <c r="G186" s="16">
        <v>0</v>
      </c>
      <c r="H186" s="16">
        <v>2</v>
      </c>
      <c r="I186" s="96">
        <f t="shared" si="37"/>
        <v>0</v>
      </c>
      <c r="J186" s="16">
        <v>0</v>
      </c>
      <c r="K186" s="16">
        <v>0</v>
      </c>
      <c r="L186" s="96">
        <f t="shared" si="38"/>
        <v>0</v>
      </c>
      <c r="M186" s="16">
        <v>2</v>
      </c>
      <c r="N186" s="16">
        <v>3</v>
      </c>
      <c r="O186" s="16">
        <v>1</v>
      </c>
      <c r="P186" s="16">
        <v>3</v>
      </c>
      <c r="Q186" s="16">
        <v>0</v>
      </c>
      <c r="R186" s="16">
        <v>6</v>
      </c>
    </row>
    <row r="187" spans="1:18" x14ac:dyDescent="0.25">
      <c r="A187" s="21">
        <v>42239</v>
      </c>
      <c r="B187" s="20"/>
      <c r="C187" s="15" t="s">
        <v>143</v>
      </c>
      <c r="D187" s="16">
        <v>5</v>
      </c>
      <c r="E187" s="16">
        <v>9</v>
      </c>
      <c r="F187" s="96">
        <f t="shared" si="36"/>
        <v>0.55555555555555558</v>
      </c>
      <c r="G187" s="16">
        <v>0</v>
      </c>
      <c r="H187" s="16">
        <v>0</v>
      </c>
      <c r="I187" s="96">
        <f t="shared" si="37"/>
        <v>0</v>
      </c>
      <c r="J187" s="16">
        <v>0</v>
      </c>
      <c r="K187" s="16">
        <v>0</v>
      </c>
      <c r="L187" s="96">
        <f t="shared" si="38"/>
        <v>0</v>
      </c>
      <c r="M187" s="16">
        <v>6</v>
      </c>
      <c r="N187" s="16">
        <v>0</v>
      </c>
      <c r="O187" s="16">
        <v>0</v>
      </c>
      <c r="P187" s="16">
        <v>2</v>
      </c>
      <c r="Q187" s="16">
        <v>0</v>
      </c>
      <c r="R187" s="16">
        <v>10</v>
      </c>
    </row>
    <row r="188" spans="1:18" x14ac:dyDescent="0.25">
      <c r="A188" s="71">
        <v>42242</v>
      </c>
      <c r="B188" s="20"/>
      <c r="C188" s="15" t="s">
        <v>143</v>
      </c>
      <c r="D188" s="16">
        <v>6</v>
      </c>
      <c r="E188" s="16">
        <v>7</v>
      </c>
      <c r="F188" s="98">
        <f t="shared" ref="F188:F199" si="39">IF(E188=0,0,D188/E188)</f>
        <v>0.8571428571428571</v>
      </c>
      <c r="G188" s="16">
        <v>0</v>
      </c>
      <c r="H188" s="16">
        <v>0</v>
      </c>
      <c r="I188" s="98">
        <f t="shared" ref="I188:I199" si="40">IF(H188=0,0,G188/H188)</f>
        <v>0</v>
      </c>
      <c r="J188" s="16">
        <v>0</v>
      </c>
      <c r="K188" s="16">
        <v>0</v>
      </c>
      <c r="L188" s="98">
        <f t="shared" ref="L188:L199" si="41">IF(K188=0,0,J188/K188)</f>
        <v>0</v>
      </c>
      <c r="M188" s="16">
        <v>3</v>
      </c>
      <c r="N188" s="16">
        <v>0</v>
      </c>
      <c r="O188" s="16">
        <v>0</v>
      </c>
      <c r="P188" s="16">
        <v>1</v>
      </c>
      <c r="Q188" s="16">
        <v>0</v>
      </c>
      <c r="R188" s="16">
        <v>12</v>
      </c>
    </row>
    <row r="189" spans="1:18" x14ac:dyDescent="0.25">
      <c r="A189" s="71">
        <v>42244</v>
      </c>
      <c r="B189" s="20"/>
      <c r="C189" s="15" t="s">
        <v>58</v>
      </c>
      <c r="D189" s="16">
        <v>7</v>
      </c>
      <c r="E189" s="16">
        <v>12</v>
      </c>
      <c r="F189" s="98">
        <f t="shared" si="39"/>
        <v>0.58333333333333337</v>
      </c>
      <c r="G189" s="16">
        <v>0</v>
      </c>
      <c r="H189" s="16">
        <v>0</v>
      </c>
      <c r="I189" s="98">
        <f t="shared" si="40"/>
        <v>0</v>
      </c>
      <c r="J189" s="16">
        <v>0</v>
      </c>
      <c r="K189" s="16">
        <v>0</v>
      </c>
      <c r="L189" s="98">
        <f t="shared" si="41"/>
        <v>0</v>
      </c>
      <c r="M189" s="16">
        <v>6</v>
      </c>
      <c r="N189" s="16">
        <v>2</v>
      </c>
      <c r="O189" s="16">
        <v>1</v>
      </c>
      <c r="P189" s="16">
        <v>1</v>
      </c>
      <c r="Q189" s="16">
        <v>2</v>
      </c>
      <c r="R189" s="16">
        <v>14</v>
      </c>
    </row>
    <row r="190" spans="1:18" x14ac:dyDescent="0.25">
      <c r="A190" s="71">
        <v>42244</v>
      </c>
      <c r="B190" s="20"/>
      <c r="C190" s="15" t="s">
        <v>59</v>
      </c>
      <c r="D190" s="16">
        <v>3</v>
      </c>
      <c r="E190" s="16">
        <v>6</v>
      </c>
      <c r="F190" s="98">
        <f t="shared" si="39"/>
        <v>0.5</v>
      </c>
      <c r="G190" s="16">
        <v>0</v>
      </c>
      <c r="H190" s="16">
        <v>0</v>
      </c>
      <c r="I190" s="98">
        <f t="shared" si="40"/>
        <v>0</v>
      </c>
      <c r="J190" s="16">
        <v>2</v>
      </c>
      <c r="K190" s="16">
        <v>2</v>
      </c>
      <c r="L190" s="98">
        <f t="shared" si="41"/>
        <v>1</v>
      </c>
      <c r="M190" s="16">
        <v>3</v>
      </c>
      <c r="N190" s="16">
        <v>4</v>
      </c>
      <c r="O190" s="16">
        <v>0</v>
      </c>
      <c r="P190" s="16">
        <v>1</v>
      </c>
      <c r="Q190" s="16">
        <v>0</v>
      </c>
      <c r="R190" s="16">
        <v>8</v>
      </c>
    </row>
    <row r="191" spans="1:18" x14ac:dyDescent="0.25">
      <c r="A191" s="71">
        <v>42244</v>
      </c>
      <c r="B191" s="20"/>
      <c r="C191" s="15" t="s">
        <v>85</v>
      </c>
      <c r="D191" s="16">
        <v>3</v>
      </c>
      <c r="E191" s="16">
        <v>7</v>
      </c>
      <c r="F191" s="98">
        <f t="shared" si="39"/>
        <v>0.42857142857142855</v>
      </c>
      <c r="G191" s="16">
        <v>0</v>
      </c>
      <c r="H191" s="16">
        <v>3</v>
      </c>
      <c r="I191" s="98">
        <f t="shared" si="40"/>
        <v>0</v>
      </c>
      <c r="J191" s="16">
        <v>5</v>
      </c>
      <c r="K191" s="16">
        <v>5</v>
      </c>
      <c r="L191" s="98">
        <f t="shared" si="41"/>
        <v>1</v>
      </c>
      <c r="M191" s="16">
        <v>6</v>
      </c>
      <c r="N191" s="16">
        <v>5</v>
      </c>
      <c r="O191" s="16">
        <v>1</v>
      </c>
      <c r="P191" s="16">
        <v>1</v>
      </c>
      <c r="Q191" s="16">
        <v>0</v>
      </c>
      <c r="R191" s="16">
        <v>11</v>
      </c>
    </row>
    <row r="192" spans="1:18" x14ac:dyDescent="0.25">
      <c r="A192" s="71">
        <v>42244</v>
      </c>
      <c r="B192" s="20"/>
      <c r="C192" s="15" t="s">
        <v>92</v>
      </c>
      <c r="D192" s="16">
        <v>8</v>
      </c>
      <c r="E192" s="16">
        <v>12</v>
      </c>
      <c r="F192" s="98">
        <f t="shared" si="39"/>
        <v>0.66666666666666663</v>
      </c>
      <c r="G192" s="16">
        <v>0</v>
      </c>
      <c r="H192" s="16">
        <v>0</v>
      </c>
      <c r="I192" s="98">
        <f t="shared" si="40"/>
        <v>0</v>
      </c>
      <c r="J192" s="16">
        <v>6</v>
      </c>
      <c r="K192" s="16">
        <v>7</v>
      </c>
      <c r="L192" s="98">
        <f t="shared" si="41"/>
        <v>0.8571428571428571</v>
      </c>
      <c r="M192" s="16">
        <v>10</v>
      </c>
      <c r="N192" s="16">
        <v>2</v>
      </c>
      <c r="O192" s="16">
        <v>0</v>
      </c>
      <c r="P192" s="16">
        <v>2</v>
      </c>
      <c r="Q192" s="16">
        <v>0</v>
      </c>
      <c r="R192" s="16">
        <v>22</v>
      </c>
    </row>
    <row r="193" spans="1:18" x14ac:dyDescent="0.25">
      <c r="A193" s="71">
        <v>42244</v>
      </c>
      <c r="B193" s="20"/>
      <c r="C193" s="15" t="s">
        <v>143</v>
      </c>
      <c r="D193" s="16">
        <v>1</v>
      </c>
      <c r="E193" s="16">
        <v>3</v>
      </c>
      <c r="F193" s="98">
        <f t="shared" si="39"/>
        <v>0.33333333333333331</v>
      </c>
      <c r="G193" s="16">
        <v>0</v>
      </c>
      <c r="H193" s="16">
        <v>0</v>
      </c>
      <c r="I193" s="98">
        <f t="shared" si="40"/>
        <v>0</v>
      </c>
      <c r="J193" s="16">
        <v>2</v>
      </c>
      <c r="K193" s="16">
        <v>2</v>
      </c>
      <c r="L193" s="98">
        <f t="shared" si="41"/>
        <v>1</v>
      </c>
      <c r="M193" s="16">
        <v>2</v>
      </c>
      <c r="N193" s="16">
        <v>0</v>
      </c>
      <c r="O193" s="16">
        <v>2</v>
      </c>
      <c r="P193" s="16">
        <v>3</v>
      </c>
      <c r="Q193" s="16">
        <v>0</v>
      </c>
      <c r="R193" s="16">
        <v>4</v>
      </c>
    </row>
    <row r="194" spans="1:18" x14ac:dyDescent="0.25">
      <c r="A194" s="21">
        <v>42245</v>
      </c>
      <c r="B194" s="20"/>
      <c r="C194" s="20" t="s">
        <v>148</v>
      </c>
      <c r="D194" s="99">
        <v>2</v>
      </c>
      <c r="E194" s="99">
        <v>5</v>
      </c>
      <c r="F194" s="98">
        <f t="shared" si="39"/>
        <v>0.4</v>
      </c>
      <c r="G194" s="99">
        <v>0</v>
      </c>
      <c r="H194" s="99">
        <v>0</v>
      </c>
      <c r="I194" s="98">
        <f t="shared" si="40"/>
        <v>0</v>
      </c>
      <c r="J194" s="99">
        <v>0</v>
      </c>
      <c r="K194" s="99">
        <v>0</v>
      </c>
      <c r="L194" s="98">
        <f t="shared" si="41"/>
        <v>0</v>
      </c>
      <c r="M194" s="99">
        <v>4</v>
      </c>
      <c r="N194" s="99">
        <v>2</v>
      </c>
      <c r="O194" s="99">
        <v>0</v>
      </c>
      <c r="P194" s="99">
        <v>2</v>
      </c>
      <c r="Q194" s="99">
        <v>1</v>
      </c>
      <c r="R194" s="99">
        <v>4</v>
      </c>
    </row>
    <row r="195" spans="1:18" x14ac:dyDescent="0.25">
      <c r="A195" s="71">
        <v>42246</v>
      </c>
      <c r="B195" s="20"/>
      <c r="C195" s="15" t="s">
        <v>143</v>
      </c>
      <c r="D195" s="16">
        <v>4</v>
      </c>
      <c r="E195" s="16">
        <v>9</v>
      </c>
      <c r="F195" s="98">
        <f t="shared" si="39"/>
        <v>0.44444444444444442</v>
      </c>
      <c r="G195" s="16">
        <v>0</v>
      </c>
      <c r="H195" s="16">
        <v>0</v>
      </c>
      <c r="I195" s="98">
        <f t="shared" si="40"/>
        <v>0</v>
      </c>
      <c r="J195" s="16">
        <v>1</v>
      </c>
      <c r="K195" s="16">
        <v>2</v>
      </c>
      <c r="L195" s="98">
        <f t="shared" si="41"/>
        <v>0.5</v>
      </c>
      <c r="M195" s="16">
        <v>3</v>
      </c>
      <c r="N195" s="16">
        <v>0</v>
      </c>
      <c r="O195" s="16">
        <v>0</v>
      </c>
      <c r="P195" s="16">
        <v>0</v>
      </c>
      <c r="Q195" s="16">
        <v>0</v>
      </c>
      <c r="R195" s="16">
        <v>9</v>
      </c>
    </row>
    <row r="196" spans="1:18" x14ac:dyDescent="0.25">
      <c r="A196" s="71">
        <v>42246</v>
      </c>
      <c r="B196" s="20"/>
      <c r="C196" s="15" t="s">
        <v>91</v>
      </c>
      <c r="D196" s="16">
        <v>3</v>
      </c>
      <c r="E196" s="16">
        <v>6</v>
      </c>
      <c r="F196" s="98">
        <f t="shared" si="39"/>
        <v>0.5</v>
      </c>
      <c r="G196" s="16">
        <v>0</v>
      </c>
      <c r="H196" s="16">
        <v>2</v>
      </c>
      <c r="I196" s="98">
        <f t="shared" si="40"/>
        <v>0</v>
      </c>
      <c r="J196" s="16">
        <v>0</v>
      </c>
      <c r="K196" s="16">
        <v>0</v>
      </c>
      <c r="L196" s="98">
        <f t="shared" si="41"/>
        <v>0</v>
      </c>
      <c r="M196" s="16">
        <v>4</v>
      </c>
      <c r="N196" s="16">
        <v>1</v>
      </c>
      <c r="O196" s="16">
        <v>1</v>
      </c>
      <c r="P196" s="16">
        <v>1</v>
      </c>
      <c r="Q196" s="16">
        <v>1</v>
      </c>
      <c r="R196" s="16">
        <v>6</v>
      </c>
    </row>
    <row r="197" spans="1:18" x14ac:dyDescent="0.25">
      <c r="A197" s="71">
        <v>42246</v>
      </c>
      <c r="B197" s="20"/>
      <c r="C197" s="15" t="s">
        <v>59</v>
      </c>
      <c r="D197" s="16">
        <v>0</v>
      </c>
      <c r="E197" s="16">
        <v>3</v>
      </c>
      <c r="F197" s="98">
        <f t="shared" si="39"/>
        <v>0</v>
      </c>
      <c r="G197" s="16">
        <v>0</v>
      </c>
      <c r="H197" s="16">
        <v>0</v>
      </c>
      <c r="I197" s="98">
        <f t="shared" si="40"/>
        <v>0</v>
      </c>
      <c r="J197" s="16">
        <v>2</v>
      </c>
      <c r="K197" s="16">
        <v>2</v>
      </c>
      <c r="L197" s="98">
        <f t="shared" si="41"/>
        <v>1</v>
      </c>
      <c r="M197" s="16">
        <v>0</v>
      </c>
      <c r="N197" s="16">
        <v>3</v>
      </c>
      <c r="O197" s="16">
        <v>1</v>
      </c>
      <c r="P197" s="16">
        <v>0</v>
      </c>
      <c r="Q197" s="16">
        <v>0</v>
      </c>
      <c r="R197" s="16">
        <v>2</v>
      </c>
    </row>
    <row r="198" spans="1:18" x14ac:dyDescent="0.25">
      <c r="A198" s="71">
        <v>42246</v>
      </c>
      <c r="B198" s="20"/>
      <c r="C198" s="15" t="s">
        <v>58</v>
      </c>
      <c r="D198" s="16">
        <v>5</v>
      </c>
      <c r="E198" s="16">
        <v>8</v>
      </c>
      <c r="F198" s="98">
        <f t="shared" si="39"/>
        <v>0.625</v>
      </c>
      <c r="G198" s="16">
        <v>0</v>
      </c>
      <c r="H198" s="16">
        <v>0</v>
      </c>
      <c r="I198" s="98">
        <f t="shared" si="40"/>
        <v>0</v>
      </c>
      <c r="J198" s="16">
        <v>0</v>
      </c>
      <c r="K198" s="16">
        <v>0</v>
      </c>
      <c r="L198" s="98">
        <f t="shared" si="41"/>
        <v>0</v>
      </c>
      <c r="M198" s="16">
        <v>6</v>
      </c>
      <c r="N198" s="16">
        <v>0</v>
      </c>
      <c r="O198" s="16">
        <v>0</v>
      </c>
      <c r="P198" s="16">
        <v>3</v>
      </c>
      <c r="Q198" s="16">
        <v>0</v>
      </c>
      <c r="R198" s="16">
        <v>10</v>
      </c>
    </row>
    <row r="199" spans="1:18" x14ac:dyDescent="0.25">
      <c r="A199" s="71">
        <v>42246</v>
      </c>
      <c r="B199" s="20"/>
      <c r="C199" s="15" t="s">
        <v>92</v>
      </c>
      <c r="D199" s="16">
        <v>6</v>
      </c>
      <c r="E199" s="16">
        <v>11</v>
      </c>
      <c r="F199" s="98">
        <f t="shared" si="39"/>
        <v>0.54545454545454541</v>
      </c>
      <c r="G199" s="16">
        <v>0</v>
      </c>
      <c r="H199" s="16">
        <v>0</v>
      </c>
      <c r="I199" s="98">
        <f t="shared" si="40"/>
        <v>0</v>
      </c>
      <c r="J199" s="16">
        <v>3</v>
      </c>
      <c r="K199" s="16">
        <v>4</v>
      </c>
      <c r="L199" s="98">
        <f t="shared" si="41"/>
        <v>0.75</v>
      </c>
      <c r="M199" s="16">
        <v>4</v>
      </c>
      <c r="N199" s="16">
        <v>1</v>
      </c>
      <c r="O199" s="16">
        <v>1</v>
      </c>
      <c r="P199" s="16">
        <v>2</v>
      </c>
      <c r="Q199" s="16">
        <v>2</v>
      </c>
      <c r="R199" s="16">
        <v>15</v>
      </c>
    </row>
    <row r="200" spans="1:18" x14ac:dyDescent="0.25">
      <c r="A200" s="71">
        <v>42248</v>
      </c>
      <c r="B200" s="20"/>
      <c r="C200" s="15" t="s">
        <v>143</v>
      </c>
      <c r="D200" s="16">
        <v>2</v>
      </c>
      <c r="E200" s="16">
        <v>8</v>
      </c>
      <c r="F200" s="100">
        <f t="shared" ref="F200:F214" si="42">IF(E200=0,0,D200/E200)</f>
        <v>0.25</v>
      </c>
      <c r="G200" s="16">
        <v>0</v>
      </c>
      <c r="H200" s="16">
        <v>0</v>
      </c>
      <c r="I200" s="100">
        <f t="shared" ref="I200:I214" si="43">IF(H200=0,0,G200/H200)</f>
        <v>0</v>
      </c>
      <c r="J200" s="16">
        <v>2</v>
      </c>
      <c r="K200" s="16">
        <v>2</v>
      </c>
      <c r="L200" s="100">
        <f t="shared" ref="L200:L214" si="44">IF(K200=0,0,J200/K200)</f>
        <v>1</v>
      </c>
      <c r="M200" s="16">
        <v>2</v>
      </c>
      <c r="N200" s="16">
        <v>0</v>
      </c>
      <c r="O200" s="16">
        <v>1</v>
      </c>
      <c r="P200" s="16">
        <v>2</v>
      </c>
      <c r="Q200" s="16">
        <v>0</v>
      </c>
      <c r="R200" s="16">
        <v>6</v>
      </c>
    </row>
    <row r="201" spans="1:18" x14ac:dyDescent="0.25">
      <c r="A201" s="71">
        <v>42249</v>
      </c>
      <c r="B201" s="20"/>
      <c r="C201" s="15" t="s">
        <v>147</v>
      </c>
      <c r="D201" s="16">
        <v>0</v>
      </c>
      <c r="E201" s="16">
        <v>5</v>
      </c>
      <c r="F201" s="100">
        <f t="shared" si="42"/>
        <v>0</v>
      </c>
      <c r="G201" s="16">
        <v>0</v>
      </c>
      <c r="H201" s="16">
        <v>0</v>
      </c>
      <c r="I201" s="100">
        <f t="shared" si="43"/>
        <v>0</v>
      </c>
      <c r="J201" s="16">
        <v>0</v>
      </c>
      <c r="K201" s="16">
        <v>0</v>
      </c>
      <c r="L201" s="100">
        <f t="shared" si="44"/>
        <v>0</v>
      </c>
      <c r="M201" s="16">
        <v>3</v>
      </c>
      <c r="N201" s="16">
        <v>0</v>
      </c>
      <c r="O201" s="16">
        <v>1</v>
      </c>
      <c r="P201" s="16">
        <v>3</v>
      </c>
      <c r="Q201" s="16">
        <v>1</v>
      </c>
      <c r="R201" s="16">
        <v>0</v>
      </c>
    </row>
    <row r="202" spans="1:18" x14ac:dyDescent="0.25">
      <c r="A202" s="71">
        <v>42249</v>
      </c>
      <c r="B202" s="20"/>
      <c r="C202" s="15" t="s">
        <v>58</v>
      </c>
      <c r="D202" s="16">
        <v>5</v>
      </c>
      <c r="E202" s="16">
        <v>8</v>
      </c>
      <c r="F202" s="100">
        <f t="shared" si="42"/>
        <v>0.625</v>
      </c>
      <c r="G202" s="16">
        <v>0</v>
      </c>
      <c r="H202" s="16">
        <v>0</v>
      </c>
      <c r="I202" s="100">
        <f t="shared" si="43"/>
        <v>0</v>
      </c>
      <c r="J202" s="16">
        <v>0</v>
      </c>
      <c r="K202" s="16">
        <v>0</v>
      </c>
      <c r="L202" s="100">
        <f t="shared" si="44"/>
        <v>0</v>
      </c>
      <c r="M202" s="16">
        <v>6</v>
      </c>
      <c r="N202" s="16">
        <v>0</v>
      </c>
      <c r="O202" s="16">
        <v>0</v>
      </c>
      <c r="P202" s="16">
        <v>2</v>
      </c>
      <c r="Q202" s="16">
        <v>1</v>
      </c>
      <c r="R202" s="16">
        <v>10</v>
      </c>
    </row>
    <row r="203" spans="1:18" x14ac:dyDescent="0.25">
      <c r="A203" s="71">
        <v>42250</v>
      </c>
      <c r="B203" s="20"/>
      <c r="C203" s="15" t="s">
        <v>58</v>
      </c>
      <c r="D203" s="16">
        <v>9</v>
      </c>
      <c r="E203" s="16">
        <v>12</v>
      </c>
      <c r="F203" s="100">
        <f t="shared" si="42"/>
        <v>0.75</v>
      </c>
      <c r="G203" s="16">
        <v>1</v>
      </c>
      <c r="H203" s="16">
        <v>1</v>
      </c>
      <c r="I203" s="100">
        <f t="shared" si="43"/>
        <v>1</v>
      </c>
      <c r="J203" s="16">
        <v>0</v>
      </c>
      <c r="K203" s="16">
        <v>0</v>
      </c>
      <c r="L203" s="100">
        <f t="shared" si="44"/>
        <v>0</v>
      </c>
      <c r="M203" s="16">
        <v>8</v>
      </c>
      <c r="N203" s="16">
        <v>1</v>
      </c>
      <c r="O203" s="16">
        <v>3</v>
      </c>
      <c r="P203" s="16">
        <v>1</v>
      </c>
      <c r="Q203" s="16">
        <v>0</v>
      </c>
      <c r="R203" s="16">
        <v>19</v>
      </c>
    </row>
    <row r="204" spans="1:18" x14ac:dyDescent="0.25">
      <c r="A204" s="71">
        <v>42250</v>
      </c>
      <c r="B204" s="20"/>
      <c r="C204" s="15" t="s">
        <v>148</v>
      </c>
      <c r="D204" s="16">
        <v>0</v>
      </c>
      <c r="E204" s="16">
        <v>1</v>
      </c>
      <c r="F204" s="100">
        <f t="shared" si="42"/>
        <v>0</v>
      </c>
      <c r="G204" s="16">
        <v>0</v>
      </c>
      <c r="H204" s="16">
        <v>0</v>
      </c>
      <c r="I204" s="100">
        <f t="shared" si="43"/>
        <v>0</v>
      </c>
      <c r="J204" s="16">
        <v>0</v>
      </c>
      <c r="K204" s="16">
        <v>0</v>
      </c>
      <c r="L204" s="100">
        <f t="shared" si="44"/>
        <v>0</v>
      </c>
      <c r="M204" s="16">
        <v>0</v>
      </c>
      <c r="N204" s="16">
        <v>0</v>
      </c>
      <c r="O204" s="16">
        <v>1</v>
      </c>
      <c r="P204" s="16">
        <v>0</v>
      </c>
      <c r="Q204" s="16">
        <v>1</v>
      </c>
      <c r="R204" s="16">
        <v>0</v>
      </c>
    </row>
    <row r="205" spans="1:18" x14ac:dyDescent="0.25">
      <c r="A205" s="71">
        <v>42250</v>
      </c>
      <c r="B205" s="20"/>
      <c r="C205" s="15" t="s">
        <v>91</v>
      </c>
      <c r="D205" s="16">
        <v>2</v>
      </c>
      <c r="E205" s="16">
        <v>4</v>
      </c>
      <c r="F205" s="100">
        <f t="shared" si="42"/>
        <v>0.5</v>
      </c>
      <c r="G205" s="16">
        <v>1</v>
      </c>
      <c r="H205" s="16">
        <v>1</v>
      </c>
      <c r="I205" s="100">
        <f t="shared" si="43"/>
        <v>1</v>
      </c>
      <c r="J205" s="16">
        <v>0</v>
      </c>
      <c r="K205" s="16">
        <v>0</v>
      </c>
      <c r="L205" s="100">
        <f t="shared" si="44"/>
        <v>0</v>
      </c>
      <c r="M205" s="16">
        <v>1</v>
      </c>
      <c r="N205" s="16">
        <v>3</v>
      </c>
      <c r="O205" s="16">
        <v>1</v>
      </c>
      <c r="P205" s="16">
        <v>2</v>
      </c>
      <c r="Q205" s="16">
        <v>2</v>
      </c>
      <c r="R205" s="16">
        <v>5</v>
      </c>
    </row>
    <row r="206" spans="1:18" x14ac:dyDescent="0.25">
      <c r="A206" s="71">
        <v>42250</v>
      </c>
      <c r="B206" s="20"/>
      <c r="C206" s="15" t="s">
        <v>92</v>
      </c>
      <c r="D206" s="16">
        <v>5</v>
      </c>
      <c r="E206" s="16">
        <v>8</v>
      </c>
      <c r="F206" s="100">
        <f t="shared" si="42"/>
        <v>0.625</v>
      </c>
      <c r="G206" s="16">
        <v>0</v>
      </c>
      <c r="H206" s="16">
        <v>0</v>
      </c>
      <c r="I206" s="100">
        <f t="shared" si="43"/>
        <v>0</v>
      </c>
      <c r="J206" s="16">
        <v>2</v>
      </c>
      <c r="K206" s="16">
        <v>4</v>
      </c>
      <c r="L206" s="100">
        <f t="shared" si="44"/>
        <v>0.5</v>
      </c>
      <c r="M206" s="16">
        <v>8</v>
      </c>
      <c r="N206" s="16">
        <v>1</v>
      </c>
      <c r="O206" s="16">
        <v>0</v>
      </c>
      <c r="P206" s="16">
        <v>1</v>
      </c>
      <c r="Q206" s="16">
        <v>0</v>
      </c>
      <c r="R206" s="16">
        <v>12</v>
      </c>
    </row>
    <row r="207" spans="1:18" x14ac:dyDescent="0.25">
      <c r="A207" s="71">
        <v>42250</v>
      </c>
      <c r="B207" s="20"/>
      <c r="C207" s="15" t="s">
        <v>85</v>
      </c>
      <c r="D207" s="16">
        <v>5</v>
      </c>
      <c r="E207" s="16">
        <v>9</v>
      </c>
      <c r="F207" s="100">
        <f t="shared" si="42"/>
        <v>0.55555555555555558</v>
      </c>
      <c r="G207" s="16">
        <v>2</v>
      </c>
      <c r="H207" s="16">
        <v>3</v>
      </c>
      <c r="I207" s="100">
        <f t="shared" si="43"/>
        <v>0.66666666666666663</v>
      </c>
      <c r="J207" s="16">
        <v>1</v>
      </c>
      <c r="K207" s="16">
        <v>1</v>
      </c>
      <c r="L207" s="100">
        <f t="shared" si="44"/>
        <v>1</v>
      </c>
      <c r="M207" s="16">
        <v>3</v>
      </c>
      <c r="N207" s="16">
        <v>3</v>
      </c>
      <c r="O207" s="16">
        <v>0</v>
      </c>
      <c r="P207" s="16">
        <v>2</v>
      </c>
      <c r="Q207" s="16">
        <v>0</v>
      </c>
      <c r="R207" s="16">
        <v>13</v>
      </c>
    </row>
    <row r="208" spans="1:18" x14ac:dyDescent="0.25">
      <c r="A208" s="71">
        <v>42251</v>
      </c>
      <c r="B208" s="20"/>
      <c r="C208" s="15" t="s">
        <v>143</v>
      </c>
      <c r="D208" s="16">
        <v>1</v>
      </c>
      <c r="E208" s="16">
        <v>1</v>
      </c>
      <c r="F208" s="100">
        <f t="shared" si="42"/>
        <v>1</v>
      </c>
      <c r="G208" s="16">
        <v>0</v>
      </c>
      <c r="H208" s="16">
        <v>0</v>
      </c>
      <c r="I208" s="100">
        <f t="shared" si="43"/>
        <v>0</v>
      </c>
      <c r="J208" s="16">
        <v>0</v>
      </c>
      <c r="K208" s="16">
        <v>0</v>
      </c>
      <c r="L208" s="100">
        <f t="shared" si="44"/>
        <v>0</v>
      </c>
      <c r="M208" s="16">
        <v>0</v>
      </c>
      <c r="N208" s="16">
        <v>0</v>
      </c>
      <c r="O208" s="16">
        <v>0</v>
      </c>
      <c r="P208" s="16">
        <v>1</v>
      </c>
      <c r="Q208" s="16">
        <v>0</v>
      </c>
      <c r="R208" s="16">
        <v>2</v>
      </c>
    </row>
    <row r="209" spans="1:18" x14ac:dyDescent="0.25">
      <c r="A209" s="71">
        <v>42253</v>
      </c>
      <c r="B209" s="20"/>
      <c r="C209" s="15" t="s">
        <v>85</v>
      </c>
      <c r="D209" s="16">
        <v>5</v>
      </c>
      <c r="E209" s="16">
        <v>10</v>
      </c>
      <c r="F209" s="101">
        <f t="shared" si="42"/>
        <v>0.5</v>
      </c>
      <c r="G209" s="16">
        <v>3</v>
      </c>
      <c r="H209" s="16">
        <v>4</v>
      </c>
      <c r="I209" s="101">
        <f t="shared" si="43"/>
        <v>0.75</v>
      </c>
      <c r="J209" s="16">
        <v>0</v>
      </c>
      <c r="K209" s="16">
        <v>0</v>
      </c>
      <c r="L209" s="101">
        <f t="shared" si="44"/>
        <v>0</v>
      </c>
      <c r="M209" s="16">
        <v>2</v>
      </c>
      <c r="N209" s="16">
        <v>2</v>
      </c>
      <c r="O209" s="16">
        <v>1</v>
      </c>
      <c r="P209" s="16">
        <v>1</v>
      </c>
      <c r="Q209" s="16">
        <v>1</v>
      </c>
      <c r="R209" s="16">
        <v>13</v>
      </c>
    </row>
    <row r="210" spans="1:18" x14ac:dyDescent="0.25">
      <c r="A210" s="71">
        <v>42253</v>
      </c>
      <c r="B210" s="20"/>
      <c r="C210" s="15" t="s">
        <v>147</v>
      </c>
      <c r="D210" s="16">
        <v>1</v>
      </c>
      <c r="E210" s="16">
        <v>3</v>
      </c>
      <c r="F210" s="101">
        <f t="shared" si="42"/>
        <v>0.33333333333333331</v>
      </c>
      <c r="G210" s="16">
        <v>0</v>
      </c>
      <c r="H210" s="16">
        <v>1</v>
      </c>
      <c r="I210" s="101">
        <f t="shared" si="43"/>
        <v>0</v>
      </c>
      <c r="J210" s="16">
        <v>0</v>
      </c>
      <c r="K210" s="16">
        <v>0</v>
      </c>
      <c r="L210" s="101">
        <f t="shared" si="44"/>
        <v>0</v>
      </c>
      <c r="M210" s="16">
        <v>5</v>
      </c>
      <c r="N210" s="16">
        <v>0</v>
      </c>
      <c r="O210" s="16">
        <v>0</v>
      </c>
      <c r="P210" s="16">
        <v>0</v>
      </c>
      <c r="Q210" s="16">
        <v>0</v>
      </c>
      <c r="R210" s="16">
        <v>2</v>
      </c>
    </row>
    <row r="211" spans="1:18" x14ac:dyDescent="0.25">
      <c r="A211" s="71">
        <v>42253</v>
      </c>
      <c r="B211" s="20"/>
      <c r="C211" s="15" t="s">
        <v>58</v>
      </c>
      <c r="D211" s="16">
        <v>7</v>
      </c>
      <c r="E211" s="16">
        <v>15</v>
      </c>
      <c r="F211" s="101">
        <f t="shared" si="42"/>
        <v>0.46666666666666667</v>
      </c>
      <c r="G211" s="16">
        <v>0</v>
      </c>
      <c r="H211" s="16">
        <v>0</v>
      </c>
      <c r="I211" s="101">
        <f t="shared" si="43"/>
        <v>0</v>
      </c>
      <c r="J211" s="16">
        <v>1</v>
      </c>
      <c r="K211" s="16">
        <v>1</v>
      </c>
      <c r="L211" s="101">
        <f t="shared" si="44"/>
        <v>1</v>
      </c>
      <c r="M211" s="16">
        <v>5</v>
      </c>
      <c r="N211" s="16">
        <v>1</v>
      </c>
      <c r="O211" s="16">
        <v>2</v>
      </c>
      <c r="P211" s="16">
        <v>1</v>
      </c>
      <c r="Q211" s="16">
        <v>2</v>
      </c>
      <c r="R211" s="16">
        <v>15</v>
      </c>
    </row>
    <row r="212" spans="1:18" x14ac:dyDescent="0.25">
      <c r="A212" s="71">
        <v>42253</v>
      </c>
      <c r="B212" s="20"/>
      <c r="C212" s="15" t="s">
        <v>92</v>
      </c>
      <c r="D212" s="16">
        <v>3</v>
      </c>
      <c r="E212" s="16">
        <v>10</v>
      </c>
      <c r="F212" s="101">
        <f t="shared" si="42"/>
        <v>0.3</v>
      </c>
      <c r="G212" s="16">
        <v>0</v>
      </c>
      <c r="H212" s="16">
        <v>0</v>
      </c>
      <c r="I212" s="101">
        <f t="shared" si="43"/>
        <v>0</v>
      </c>
      <c r="J212" s="16">
        <v>6</v>
      </c>
      <c r="K212" s="16">
        <v>6</v>
      </c>
      <c r="L212" s="101">
        <f t="shared" si="44"/>
        <v>1</v>
      </c>
      <c r="M212" s="16">
        <v>5</v>
      </c>
      <c r="N212" s="16">
        <v>1</v>
      </c>
      <c r="O212" s="16">
        <v>4</v>
      </c>
      <c r="P212" s="16">
        <v>6</v>
      </c>
      <c r="Q212" s="16">
        <v>0</v>
      </c>
      <c r="R212" s="16">
        <v>12</v>
      </c>
    </row>
    <row r="213" spans="1:18" x14ac:dyDescent="0.25">
      <c r="A213" s="71">
        <v>42253</v>
      </c>
      <c r="B213" s="20"/>
      <c r="C213" s="15" t="s">
        <v>91</v>
      </c>
      <c r="D213" s="16">
        <v>2</v>
      </c>
      <c r="E213" s="16">
        <v>6</v>
      </c>
      <c r="F213" s="101">
        <f t="shared" si="42"/>
        <v>0.33333333333333331</v>
      </c>
      <c r="G213" s="16">
        <v>0</v>
      </c>
      <c r="H213" s="16">
        <v>0</v>
      </c>
      <c r="I213" s="101">
        <f t="shared" si="43"/>
        <v>0</v>
      </c>
      <c r="J213" s="16">
        <v>0</v>
      </c>
      <c r="K213" s="16">
        <v>0</v>
      </c>
      <c r="L213" s="101">
        <f t="shared" si="44"/>
        <v>0</v>
      </c>
      <c r="M213" s="16">
        <v>0</v>
      </c>
      <c r="N213" s="16">
        <v>4</v>
      </c>
      <c r="O213" s="16">
        <v>3</v>
      </c>
      <c r="P213" s="16">
        <v>2</v>
      </c>
      <c r="Q213" s="16">
        <v>0</v>
      </c>
      <c r="R213" s="16">
        <v>4</v>
      </c>
    </row>
    <row r="214" spans="1:18" x14ac:dyDescent="0.25">
      <c r="A214" s="71">
        <v>42253</v>
      </c>
      <c r="B214" s="20"/>
      <c r="C214" s="15" t="s">
        <v>148</v>
      </c>
      <c r="D214" s="16">
        <v>3</v>
      </c>
      <c r="E214" s="16">
        <v>7</v>
      </c>
      <c r="F214" s="101">
        <f t="shared" si="42"/>
        <v>0.42857142857142855</v>
      </c>
      <c r="G214" s="16">
        <v>0</v>
      </c>
      <c r="H214" s="16">
        <v>0</v>
      </c>
      <c r="I214" s="101">
        <f t="shared" si="43"/>
        <v>0</v>
      </c>
      <c r="J214" s="16">
        <v>3</v>
      </c>
      <c r="K214" s="16">
        <v>3</v>
      </c>
      <c r="L214" s="101">
        <f t="shared" si="44"/>
        <v>1</v>
      </c>
      <c r="M214" s="16">
        <v>5</v>
      </c>
      <c r="N214" s="16">
        <v>1</v>
      </c>
      <c r="O214" s="16">
        <v>1</v>
      </c>
      <c r="P214" s="16">
        <v>1</v>
      </c>
      <c r="Q214" s="16">
        <v>0</v>
      </c>
      <c r="R214" s="16">
        <v>9</v>
      </c>
    </row>
    <row r="215" spans="1:18" x14ac:dyDescent="0.25">
      <c r="A215" s="21">
        <v>42255</v>
      </c>
      <c r="B215" s="20"/>
      <c r="C215" s="15" t="s">
        <v>147</v>
      </c>
      <c r="D215" s="16">
        <v>1</v>
      </c>
      <c r="E215" s="16">
        <v>8</v>
      </c>
      <c r="F215" s="109">
        <f t="shared" ref="F215:F231" si="45">IF(E215=0,0,D215/E215)</f>
        <v>0.125</v>
      </c>
      <c r="G215" s="16">
        <v>0</v>
      </c>
      <c r="H215" s="16">
        <v>1</v>
      </c>
      <c r="I215" s="109">
        <f t="shared" ref="I215:I231" si="46">IF(H215=0,0,G215/H215)</f>
        <v>0</v>
      </c>
      <c r="J215" s="16">
        <v>1</v>
      </c>
      <c r="K215" s="16">
        <v>2</v>
      </c>
      <c r="L215" s="109">
        <f t="shared" ref="L215:L231" si="47">IF(K215=0,0,J215/K215)</f>
        <v>0.5</v>
      </c>
      <c r="M215" s="16">
        <v>3</v>
      </c>
      <c r="N215" s="16">
        <v>2</v>
      </c>
      <c r="O215" s="16">
        <v>1</v>
      </c>
      <c r="P215" s="16">
        <v>3</v>
      </c>
      <c r="Q215" s="16">
        <v>1</v>
      </c>
      <c r="R215" s="16">
        <v>3</v>
      </c>
    </row>
    <row r="216" spans="1:18" x14ac:dyDescent="0.25">
      <c r="A216" s="21">
        <v>42255</v>
      </c>
      <c r="B216" s="20"/>
      <c r="C216" s="15" t="s">
        <v>58</v>
      </c>
      <c r="D216" s="16">
        <v>4</v>
      </c>
      <c r="E216" s="16">
        <v>6</v>
      </c>
      <c r="F216" s="109">
        <f t="shared" si="45"/>
        <v>0.66666666666666663</v>
      </c>
      <c r="G216" s="16">
        <v>1</v>
      </c>
      <c r="H216" s="16">
        <v>2</v>
      </c>
      <c r="I216" s="109">
        <f t="shared" si="46"/>
        <v>0.5</v>
      </c>
      <c r="J216" s="16">
        <v>0</v>
      </c>
      <c r="K216" s="16">
        <v>0</v>
      </c>
      <c r="L216" s="109">
        <f t="shared" si="47"/>
        <v>0</v>
      </c>
      <c r="M216" s="16">
        <v>5</v>
      </c>
      <c r="N216" s="16">
        <v>2</v>
      </c>
      <c r="O216" s="16">
        <v>1</v>
      </c>
      <c r="P216" s="16">
        <v>4</v>
      </c>
      <c r="Q216" s="16">
        <v>2</v>
      </c>
      <c r="R216" s="16">
        <v>9</v>
      </c>
    </row>
    <row r="217" spans="1:18" x14ac:dyDescent="0.25">
      <c r="A217" s="21">
        <v>42255</v>
      </c>
      <c r="B217" s="20"/>
      <c r="C217" s="15" t="s">
        <v>85</v>
      </c>
      <c r="D217" s="16">
        <v>2</v>
      </c>
      <c r="E217" s="16">
        <v>5</v>
      </c>
      <c r="F217" s="109">
        <f t="shared" si="45"/>
        <v>0.4</v>
      </c>
      <c r="G217" s="16">
        <v>2</v>
      </c>
      <c r="H217" s="16">
        <v>3</v>
      </c>
      <c r="I217" s="109">
        <f t="shared" si="46"/>
        <v>0.66666666666666663</v>
      </c>
      <c r="J217" s="16">
        <v>0</v>
      </c>
      <c r="K217" s="16">
        <v>0</v>
      </c>
      <c r="L217" s="109">
        <f t="shared" si="47"/>
        <v>0</v>
      </c>
      <c r="M217" s="16">
        <v>3</v>
      </c>
      <c r="N217" s="16">
        <v>1</v>
      </c>
      <c r="O217" s="16">
        <v>0</v>
      </c>
      <c r="P217" s="16">
        <v>3</v>
      </c>
      <c r="Q217" s="16">
        <v>0</v>
      </c>
      <c r="R217" s="16">
        <v>6</v>
      </c>
    </row>
    <row r="218" spans="1:18" x14ac:dyDescent="0.25">
      <c r="A218" s="21">
        <v>42255</v>
      </c>
      <c r="B218" s="20"/>
      <c r="C218" s="15" t="s">
        <v>92</v>
      </c>
      <c r="D218" s="16">
        <v>5</v>
      </c>
      <c r="E218" s="16">
        <v>9</v>
      </c>
      <c r="F218" s="109">
        <f t="shared" si="45"/>
        <v>0.55555555555555558</v>
      </c>
      <c r="G218" s="16">
        <v>0</v>
      </c>
      <c r="H218" s="16">
        <v>0</v>
      </c>
      <c r="I218" s="109">
        <f t="shared" si="46"/>
        <v>0</v>
      </c>
      <c r="J218" s="16">
        <v>4</v>
      </c>
      <c r="K218" s="16">
        <v>4</v>
      </c>
      <c r="L218" s="109">
        <f t="shared" si="47"/>
        <v>1</v>
      </c>
      <c r="M218" s="16">
        <v>5</v>
      </c>
      <c r="N218" s="16">
        <v>2</v>
      </c>
      <c r="O218" s="16">
        <v>0</v>
      </c>
      <c r="P218" s="16">
        <v>4</v>
      </c>
      <c r="Q218" s="16">
        <v>1</v>
      </c>
      <c r="R218" s="16">
        <v>14</v>
      </c>
    </row>
    <row r="219" spans="1:18" x14ac:dyDescent="0.25">
      <c r="A219" s="21">
        <v>42255</v>
      </c>
      <c r="B219" s="20"/>
      <c r="C219" s="15" t="s">
        <v>143</v>
      </c>
      <c r="D219" s="16">
        <v>5</v>
      </c>
      <c r="E219" s="16">
        <v>16</v>
      </c>
      <c r="F219" s="109">
        <f t="shared" si="45"/>
        <v>0.3125</v>
      </c>
      <c r="G219" s="16">
        <v>0</v>
      </c>
      <c r="H219" s="16">
        <v>0</v>
      </c>
      <c r="I219" s="109">
        <f t="shared" si="46"/>
        <v>0</v>
      </c>
      <c r="J219" s="16">
        <v>2</v>
      </c>
      <c r="K219" s="16">
        <v>2</v>
      </c>
      <c r="L219" s="109">
        <f t="shared" si="47"/>
        <v>1</v>
      </c>
      <c r="M219" s="16">
        <v>6</v>
      </c>
      <c r="N219" s="16">
        <v>1</v>
      </c>
      <c r="O219" s="16">
        <v>2</v>
      </c>
      <c r="P219" s="16">
        <v>2</v>
      </c>
      <c r="Q219" s="16">
        <v>0</v>
      </c>
      <c r="R219" s="16">
        <v>12</v>
      </c>
    </row>
    <row r="220" spans="1:18" x14ac:dyDescent="0.25">
      <c r="A220" s="21">
        <v>42258</v>
      </c>
      <c r="B220" s="20"/>
      <c r="C220" s="15" t="s">
        <v>58</v>
      </c>
      <c r="D220" s="16">
        <v>6</v>
      </c>
      <c r="E220" s="16">
        <v>8</v>
      </c>
      <c r="F220" s="121">
        <f t="shared" ref="F220:F230" si="48">IF(E220=0,0,D220/E220)</f>
        <v>0.75</v>
      </c>
      <c r="G220" s="16">
        <v>2</v>
      </c>
      <c r="H220" s="16">
        <v>3</v>
      </c>
      <c r="I220" s="121">
        <f t="shared" ref="I220:I230" si="49">IF(H220=0,0,G220/H220)</f>
        <v>0.66666666666666663</v>
      </c>
      <c r="J220" s="16">
        <v>0</v>
      </c>
      <c r="K220" s="16">
        <v>0</v>
      </c>
      <c r="L220" s="121">
        <f t="shared" ref="L220:L230" si="50">IF(K220=0,0,J220/K220)</f>
        <v>0</v>
      </c>
      <c r="M220" s="16">
        <v>8</v>
      </c>
      <c r="N220" s="16">
        <v>0</v>
      </c>
      <c r="O220" s="16">
        <v>0</v>
      </c>
      <c r="P220" s="16">
        <v>1</v>
      </c>
      <c r="Q220" s="16">
        <v>1</v>
      </c>
      <c r="R220" s="16">
        <v>14</v>
      </c>
    </row>
    <row r="221" spans="1:18" x14ac:dyDescent="0.25">
      <c r="A221" s="21">
        <v>42258</v>
      </c>
      <c r="B221" s="20"/>
      <c r="C221" s="15" t="s">
        <v>147</v>
      </c>
      <c r="D221" s="16">
        <v>6</v>
      </c>
      <c r="E221" s="16">
        <v>9</v>
      </c>
      <c r="F221" s="121">
        <f t="shared" si="48"/>
        <v>0.66666666666666663</v>
      </c>
      <c r="G221" s="16">
        <v>2</v>
      </c>
      <c r="H221" s="16">
        <v>2</v>
      </c>
      <c r="I221" s="121">
        <f t="shared" si="49"/>
        <v>1</v>
      </c>
      <c r="J221" s="16">
        <v>1</v>
      </c>
      <c r="K221" s="16">
        <v>2</v>
      </c>
      <c r="L221" s="121">
        <f t="shared" si="50"/>
        <v>0.5</v>
      </c>
      <c r="M221" s="16">
        <v>5</v>
      </c>
      <c r="N221" s="16">
        <v>3</v>
      </c>
      <c r="O221" s="16">
        <v>1</v>
      </c>
      <c r="P221" s="16">
        <v>0</v>
      </c>
      <c r="Q221" s="16">
        <v>0</v>
      </c>
      <c r="R221" s="16">
        <v>15</v>
      </c>
    </row>
    <row r="222" spans="1:18" x14ac:dyDescent="0.25">
      <c r="A222" s="21">
        <v>42258</v>
      </c>
      <c r="B222" s="20"/>
      <c r="C222" s="15" t="s">
        <v>143</v>
      </c>
      <c r="D222" s="16">
        <v>5</v>
      </c>
      <c r="E222" s="16">
        <v>7</v>
      </c>
      <c r="F222" s="121">
        <f t="shared" si="48"/>
        <v>0.7142857142857143</v>
      </c>
      <c r="G222" s="16">
        <v>0</v>
      </c>
      <c r="H222" s="16">
        <v>0</v>
      </c>
      <c r="I222" s="121">
        <f t="shared" si="49"/>
        <v>0</v>
      </c>
      <c r="J222" s="16">
        <v>0</v>
      </c>
      <c r="K222" s="16">
        <v>0</v>
      </c>
      <c r="L222" s="121">
        <f t="shared" si="50"/>
        <v>0</v>
      </c>
      <c r="M222" s="16">
        <v>3</v>
      </c>
      <c r="N222" s="16">
        <v>0</v>
      </c>
      <c r="O222" s="16">
        <v>0</v>
      </c>
      <c r="P222" s="16">
        <v>3</v>
      </c>
      <c r="Q222" s="16">
        <v>0</v>
      </c>
      <c r="R222" s="16">
        <v>10</v>
      </c>
    </row>
    <row r="223" spans="1:18" x14ac:dyDescent="0.25">
      <c r="A223" s="21">
        <v>42258</v>
      </c>
      <c r="B223" s="20"/>
      <c r="C223" s="15" t="s">
        <v>148</v>
      </c>
      <c r="D223" s="16">
        <v>3</v>
      </c>
      <c r="E223" s="16">
        <v>5</v>
      </c>
      <c r="F223" s="121">
        <f t="shared" si="48"/>
        <v>0.6</v>
      </c>
      <c r="G223" s="16">
        <v>0</v>
      </c>
      <c r="H223" s="16">
        <v>0</v>
      </c>
      <c r="I223" s="121">
        <f t="shared" si="49"/>
        <v>0</v>
      </c>
      <c r="J223" s="16">
        <v>1</v>
      </c>
      <c r="K223" s="16">
        <v>3</v>
      </c>
      <c r="L223" s="121">
        <f t="shared" si="50"/>
        <v>0.33333333333333331</v>
      </c>
      <c r="M223" s="16">
        <v>4</v>
      </c>
      <c r="N223" s="16">
        <v>0</v>
      </c>
      <c r="O223" s="16">
        <v>0</v>
      </c>
      <c r="P223" s="16">
        <v>2</v>
      </c>
      <c r="Q223" s="16">
        <v>0</v>
      </c>
      <c r="R223" s="16">
        <v>7</v>
      </c>
    </row>
    <row r="224" spans="1:18" x14ac:dyDescent="0.25">
      <c r="A224" s="21">
        <v>42258</v>
      </c>
      <c r="B224" s="20"/>
      <c r="C224" s="15" t="s">
        <v>92</v>
      </c>
      <c r="D224" s="16">
        <v>1</v>
      </c>
      <c r="E224" s="16">
        <v>6</v>
      </c>
      <c r="F224" s="121">
        <f t="shared" si="48"/>
        <v>0.16666666666666666</v>
      </c>
      <c r="G224" s="16">
        <v>0</v>
      </c>
      <c r="H224" s="16">
        <v>1</v>
      </c>
      <c r="I224" s="121">
        <f t="shared" si="49"/>
        <v>0</v>
      </c>
      <c r="J224" s="16">
        <v>1</v>
      </c>
      <c r="K224" s="16">
        <v>2</v>
      </c>
      <c r="L224" s="121">
        <f t="shared" si="50"/>
        <v>0.5</v>
      </c>
      <c r="M224" s="16">
        <v>3</v>
      </c>
      <c r="N224" s="16">
        <v>0</v>
      </c>
      <c r="O224" s="16">
        <v>0</v>
      </c>
      <c r="P224" s="16">
        <v>0</v>
      </c>
      <c r="Q224" s="16">
        <v>0</v>
      </c>
      <c r="R224" s="16">
        <v>3</v>
      </c>
    </row>
    <row r="225" spans="1:18" x14ac:dyDescent="0.25">
      <c r="A225" s="21">
        <v>42258</v>
      </c>
      <c r="B225" s="20"/>
      <c r="C225" s="15" t="s">
        <v>85</v>
      </c>
      <c r="D225" s="16">
        <v>1</v>
      </c>
      <c r="E225" s="16">
        <v>5</v>
      </c>
      <c r="F225" s="121">
        <f t="shared" si="48"/>
        <v>0.2</v>
      </c>
      <c r="G225" s="16">
        <v>1</v>
      </c>
      <c r="H225" s="16">
        <v>5</v>
      </c>
      <c r="I225" s="121">
        <f t="shared" si="49"/>
        <v>0.2</v>
      </c>
      <c r="J225" s="16">
        <v>0</v>
      </c>
      <c r="K225" s="16">
        <v>0</v>
      </c>
      <c r="L225" s="121">
        <f t="shared" si="50"/>
        <v>0</v>
      </c>
      <c r="M225" s="16">
        <v>2</v>
      </c>
      <c r="N225" s="16">
        <v>2</v>
      </c>
      <c r="O225" s="16">
        <v>1</v>
      </c>
      <c r="P225" s="16">
        <v>1</v>
      </c>
      <c r="Q225" s="16">
        <v>1</v>
      </c>
      <c r="R225" s="16">
        <v>3</v>
      </c>
    </row>
    <row r="226" spans="1:18" x14ac:dyDescent="0.25">
      <c r="A226" s="73">
        <v>42260</v>
      </c>
      <c r="B226" s="20"/>
      <c r="C226" s="15" t="s">
        <v>148</v>
      </c>
      <c r="D226" s="16">
        <v>3</v>
      </c>
      <c r="E226" s="16">
        <v>7</v>
      </c>
      <c r="F226" s="121">
        <f t="shared" si="48"/>
        <v>0.42857142857142855</v>
      </c>
      <c r="G226" s="16">
        <v>0</v>
      </c>
      <c r="H226" s="16">
        <v>0</v>
      </c>
      <c r="I226" s="121">
        <f t="shared" si="49"/>
        <v>0</v>
      </c>
      <c r="J226" s="16">
        <v>1</v>
      </c>
      <c r="K226" s="16">
        <v>2</v>
      </c>
      <c r="L226" s="121">
        <f t="shared" si="50"/>
        <v>0.5</v>
      </c>
      <c r="M226" s="16">
        <v>6</v>
      </c>
      <c r="N226" s="16">
        <v>0</v>
      </c>
      <c r="O226" s="16">
        <v>0</v>
      </c>
      <c r="P226" s="16">
        <v>2</v>
      </c>
      <c r="Q226" s="16">
        <v>0</v>
      </c>
      <c r="R226" s="16">
        <v>7</v>
      </c>
    </row>
    <row r="227" spans="1:18" x14ac:dyDescent="0.25">
      <c r="A227" s="73">
        <v>42260</v>
      </c>
      <c r="B227" s="20"/>
      <c r="C227" s="15" t="s">
        <v>58</v>
      </c>
      <c r="D227" s="16">
        <v>3</v>
      </c>
      <c r="E227" s="16">
        <v>6</v>
      </c>
      <c r="F227" s="121">
        <f t="shared" si="48"/>
        <v>0.5</v>
      </c>
      <c r="G227" s="16">
        <v>1</v>
      </c>
      <c r="H227" s="16">
        <v>1</v>
      </c>
      <c r="I227" s="121">
        <f t="shared" si="49"/>
        <v>1</v>
      </c>
      <c r="J227" s="16">
        <v>0</v>
      </c>
      <c r="K227" s="16">
        <v>0</v>
      </c>
      <c r="L227" s="121">
        <f t="shared" si="50"/>
        <v>0</v>
      </c>
      <c r="M227" s="16">
        <v>5</v>
      </c>
      <c r="N227" s="16">
        <v>1</v>
      </c>
      <c r="O227" s="16">
        <v>0</v>
      </c>
      <c r="P227" s="16">
        <v>1</v>
      </c>
      <c r="Q227" s="16">
        <v>0</v>
      </c>
      <c r="R227" s="16">
        <v>7</v>
      </c>
    </row>
    <row r="228" spans="1:18" x14ac:dyDescent="0.25">
      <c r="A228" s="73">
        <v>42260</v>
      </c>
      <c r="B228" s="20"/>
      <c r="C228" s="15" t="s">
        <v>147</v>
      </c>
      <c r="D228" s="16">
        <v>1</v>
      </c>
      <c r="E228" s="16">
        <v>5</v>
      </c>
      <c r="F228" s="121">
        <f t="shared" si="48"/>
        <v>0.2</v>
      </c>
      <c r="G228" s="16">
        <v>0</v>
      </c>
      <c r="H228" s="16">
        <v>2</v>
      </c>
      <c r="I228" s="121">
        <f t="shared" si="49"/>
        <v>0</v>
      </c>
      <c r="J228" s="16">
        <v>0</v>
      </c>
      <c r="K228" s="16">
        <v>0</v>
      </c>
      <c r="L228" s="121">
        <f t="shared" si="50"/>
        <v>0</v>
      </c>
      <c r="M228" s="16">
        <v>4</v>
      </c>
      <c r="N228" s="16">
        <v>2</v>
      </c>
      <c r="O228" s="16">
        <v>1</v>
      </c>
      <c r="P228" s="16">
        <v>1</v>
      </c>
      <c r="Q228" s="16">
        <v>1</v>
      </c>
      <c r="R228" s="16">
        <v>2</v>
      </c>
    </row>
    <row r="229" spans="1:18" x14ac:dyDescent="0.25">
      <c r="A229" s="73">
        <v>42260</v>
      </c>
      <c r="B229" s="20"/>
      <c r="C229" s="15" t="s">
        <v>92</v>
      </c>
      <c r="D229" s="16">
        <v>3</v>
      </c>
      <c r="E229" s="16">
        <v>3</v>
      </c>
      <c r="F229" s="121">
        <f t="shared" si="48"/>
        <v>1</v>
      </c>
      <c r="G229" s="16">
        <v>0</v>
      </c>
      <c r="H229" s="16">
        <v>0</v>
      </c>
      <c r="I229" s="121">
        <f t="shared" si="49"/>
        <v>0</v>
      </c>
      <c r="J229" s="16">
        <v>2</v>
      </c>
      <c r="K229" s="16">
        <v>2</v>
      </c>
      <c r="L229" s="121">
        <f t="shared" si="50"/>
        <v>1</v>
      </c>
      <c r="M229" s="16">
        <v>1</v>
      </c>
      <c r="N229" s="16">
        <v>0</v>
      </c>
      <c r="O229" s="16">
        <v>0</v>
      </c>
      <c r="P229" s="16">
        <v>0</v>
      </c>
      <c r="Q229" s="16">
        <v>0</v>
      </c>
      <c r="R229" s="16">
        <v>8</v>
      </c>
    </row>
    <row r="230" spans="1:18" x14ac:dyDescent="0.25">
      <c r="A230" s="73">
        <v>42260</v>
      </c>
      <c r="B230" s="20"/>
      <c r="C230" s="15" t="s">
        <v>85</v>
      </c>
      <c r="D230" s="16">
        <v>0</v>
      </c>
      <c r="E230" s="16">
        <v>4</v>
      </c>
      <c r="F230" s="121">
        <f t="shared" si="48"/>
        <v>0</v>
      </c>
      <c r="G230" s="16">
        <v>0</v>
      </c>
      <c r="H230" s="16">
        <v>1</v>
      </c>
      <c r="I230" s="121">
        <f t="shared" si="49"/>
        <v>0</v>
      </c>
      <c r="J230" s="16">
        <v>0</v>
      </c>
      <c r="K230" s="16">
        <v>0</v>
      </c>
      <c r="L230" s="121">
        <f t="shared" si="50"/>
        <v>0</v>
      </c>
      <c r="M230" s="16">
        <v>1</v>
      </c>
      <c r="N230" s="16">
        <v>0</v>
      </c>
      <c r="O230" s="16">
        <v>2</v>
      </c>
      <c r="P230" s="16">
        <v>1</v>
      </c>
      <c r="Q230" s="16">
        <v>0</v>
      </c>
      <c r="R230" s="16">
        <v>0</v>
      </c>
    </row>
    <row r="231" spans="1:18" x14ac:dyDescent="0.25">
      <c r="A231" s="30"/>
      <c r="B231" s="30"/>
      <c r="C231" s="28"/>
      <c r="D231" s="31"/>
      <c r="E231" s="32"/>
      <c r="F231" s="33">
        <f t="shared" si="45"/>
        <v>0</v>
      </c>
      <c r="G231" s="32"/>
      <c r="H231" s="32"/>
      <c r="I231" s="33">
        <f t="shared" si="46"/>
        <v>0</v>
      </c>
      <c r="J231" s="32"/>
      <c r="K231" s="32"/>
      <c r="L231" s="29">
        <f t="shared" si="47"/>
        <v>0</v>
      </c>
      <c r="M231" s="32"/>
      <c r="N231" s="32"/>
      <c r="O231" s="32"/>
      <c r="P231" s="32"/>
      <c r="Q231" s="32"/>
      <c r="R231" s="34">
        <f>hustlefanStats[[#This Row],[FTM]]+hustlefanStats[[#This Row],[3-PT FGM]]+2*hustlefanStats[[#This Row],[FGM]]</f>
        <v>0</v>
      </c>
    </row>
    <row r="232" spans="1:18" x14ac:dyDescent="0.25">
      <c r="A232" s="6" t="s">
        <v>17</v>
      </c>
      <c r="C232" s="10"/>
      <c r="D232" s="122">
        <f>SUBTOTAL(109,hustlefanStats[FGM])</f>
        <v>772</v>
      </c>
      <c r="E232" s="6">
        <f>SUBTOTAL(109,hustlefanStats[FGA])</f>
        <v>1625</v>
      </c>
      <c r="F232" s="7">
        <f>hustlefanStats[[#Totals],[FGM]]/hustlefanStats[[#Totals],[FGA]]</f>
        <v>0.47507692307692306</v>
      </c>
      <c r="G232" s="6">
        <f>SUBTOTAL(109,hustlefanStats[3-PT FGM])</f>
        <v>85</v>
      </c>
      <c r="H232" s="6">
        <f>SUBTOTAL(109,hustlefanStats[3-PT FGA])</f>
        <v>239</v>
      </c>
      <c r="I232" s="7">
        <f>hustlefanStats[[#Totals],[3-PT FGM]]/hustlefanStats[[#Totals],[3-PT FGA]]</f>
        <v>0.35564853556485354</v>
      </c>
      <c r="J232" s="6">
        <f>SUBTOTAL(109,hustlefanStats[FTM])</f>
        <v>310</v>
      </c>
      <c r="K232" s="6">
        <f>SUBTOTAL(109,hustlefanStats[FTA])</f>
        <v>375</v>
      </c>
      <c r="L232" s="7">
        <f>hustlefanStats[[#Totals],[FTM]]/hustlefanStats[[#Totals],[FTA]]</f>
        <v>0.82666666666666666</v>
      </c>
      <c r="M232" s="6">
        <f>SUBTOTAL(109,hustlefanStats[REB])</f>
        <v>916</v>
      </c>
      <c r="N232" s="6">
        <f>SUBTOTAL(109,hustlefanStats[AST])</f>
        <v>437</v>
      </c>
      <c r="O232" s="6">
        <f>SUBTOTAL(109,hustlefanStats[STL])</f>
        <v>159</v>
      </c>
      <c r="P232" s="6">
        <f>SUBTOTAL(109,hustlefanStats[TO])</f>
        <v>331</v>
      </c>
      <c r="Q232" s="6">
        <f>SUBTOTAL(109,hustlefanStats[BLK])</f>
        <v>109</v>
      </c>
      <c r="R232" s="6">
        <f>SUBTOTAL(109,hustlefanStats[PTS])</f>
        <v>1939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8"/>
  <sheetViews>
    <sheetView showGridLines="0" topLeftCell="A216" workbookViewId="0">
      <selection sqref="A1:R238"/>
    </sheetView>
  </sheetViews>
  <sheetFormatPr defaultRowHeight="15" x14ac:dyDescent="0.25"/>
  <cols>
    <col min="1" max="1" width="7.42578125" style="6" bestFit="1" customWidth="1"/>
    <col min="2" max="2" width="1.42578125" style="6" bestFit="1" customWidth="1"/>
    <col min="3" max="3" width="22.5703125" style="6" bestFit="1" customWidth="1"/>
    <col min="4" max="4" width="5.28515625" style="6" bestFit="1" customWidth="1"/>
    <col min="5" max="5" width="4.7109375" style="6" bestFit="1" customWidth="1"/>
    <col min="6" max="6" width="5.5703125" style="7" bestFit="1" customWidth="1"/>
    <col min="7" max="7" width="5.28515625" style="6" customWidth="1"/>
    <col min="8" max="8" width="5.5703125" style="6" customWidth="1"/>
    <col min="9" max="9" width="6.42578125" style="7" bestFit="1" customWidth="1"/>
    <col min="10" max="10" width="4.85546875" style="6" bestFit="1" customWidth="1"/>
    <col min="11" max="11" width="4.28515625" style="6" bestFit="1" customWidth="1"/>
    <col min="12" max="12" width="5.5703125" style="7" bestFit="1" customWidth="1"/>
    <col min="13" max="13" width="4.7109375" style="6" customWidth="1"/>
    <col min="14" max="14" width="4.28515625" style="6" bestFit="1" customWidth="1"/>
    <col min="15" max="15" width="3.85546875" style="6" bestFit="1" customWidth="1"/>
    <col min="16" max="16" width="4.7109375" customWidth="1"/>
    <col min="17" max="17" width="4.140625" style="6" bestFit="1" customWidth="1"/>
    <col min="18" max="18" width="5" customWidth="1"/>
    <col min="20" max="20" width="6" style="6" customWidth="1"/>
    <col min="21" max="16384" width="9.140625" style="6"/>
  </cols>
  <sheetData>
    <row r="1" spans="1:19" s="3" customFormat="1" x14ac:dyDescent="0.25">
      <c r="A1" s="3" t="s">
        <v>0</v>
      </c>
      <c r="B1" s="11" t="s">
        <v>19</v>
      </c>
      <c r="C1" s="4" t="s">
        <v>1</v>
      </c>
      <c r="D1" s="3" t="s">
        <v>2</v>
      </c>
      <c r="E1" s="3" t="s">
        <v>3</v>
      </c>
      <c r="F1" s="5" t="s">
        <v>4</v>
      </c>
      <c r="G1" s="3" t="s">
        <v>5</v>
      </c>
      <c r="H1" s="3" t="s">
        <v>6</v>
      </c>
      <c r="I1" s="5" t="s">
        <v>7</v>
      </c>
      <c r="J1" s="3" t="s">
        <v>8</v>
      </c>
      <c r="K1" s="3" t="s">
        <v>9</v>
      </c>
      <c r="L1" s="5" t="s">
        <v>10</v>
      </c>
      <c r="M1" s="3" t="s">
        <v>11</v>
      </c>
      <c r="N1" s="3" t="s">
        <v>12</v>
      </c>
      <c r="O1" s="3" t="s">
        <v>15</v>
      </c>
      <c r="P1" s="3" t="s">
        <v>16</v>
      </c>
      <c r="Q1" s="3" t="s">
        <v>14</v>
      </c>
      <c r="R1" s="13" t="s">
        <v>13</v>
      </c>
    </row>
    <row r="2" spans="1:19" x14ac:dyDescent="0.25">
      <c r="A2" s="14">
        <v>42160</v>
      </c>
      <c r="B2" s="15"/>
      <c r="C2" s="10" t="s">
        <v>52</v>
      </c>
      <c r="D2" s="16">
        <v>6</v>
      </c>
      <c r="E2" s="16">
        <v>17</v>
      </c>
      <c r="F2" s="17">
        <f t="shared" ref="F2:F33" si="0">IF(E2=0,0,D2/E2)</f>
        <v>0.35294117647058826</v>
      </c>
      <c r="G2" s="16">
        <v>1</v>
      </c>
      <c r="H2" s="16">
        <v>3</v>
      </c>
      <c r="I2" s="17">
        <f t="shared" ref="I2:I33" si="1">IF(H2=0,0,G2/H2)</f>
        <v>0.33333333333333331</v>
      </c>
      <c r="J2" s="16">
        <v>2</v>
      </c>
      <c r="K2" s="16">
        <v>2</v>
      </c>
      <c r="L2" s="17">
        <f t="shared" ref="L2:L33" si="2">IF(K2=0,0,J2/K2)</f>
        <v>1</v>
      </c>
      <c r="M2" s="16">
        <v>1</v>
      </c>
      <c r="N2" s="16">
        <v>4</v>
      </c>
      <c r="O2" s="16">
        <v>2</v>
      </c>
      <c r="P2" s="16">
        <v>1</v>
      </c>
      <c r="Q2" s="16">
        <v>0</v>
      </c>
      <c r="R2" s="16">
        <v>15</v>
      </c>
      <c r="S2" s="6"/>
    </row>
    <row r="3" spans="1:19" x14ac:dyDescent="0.25">
      <c r="A3" s="14">
        <v>42160</v>
      </c>
      <c r="B3" s="15"/>
      <c r="C3" s="10" t="s">
        <v>53</v>
      </c>
      <c r="D3" s="16">
        <v>1</v>
      </c>
      <c r="E3" s="16">
        <v>6</v>
      </c>
      <c r="F3" s="17">
        <f t="shared" si="0"/>
        <v>0.16666666666666666</v>
      </c>
      <c r="G3" s="16">
        <v>0</v>
      </c>
      <c r="H3" s="16">
        <v>0</v>
      </c>
      <c r="I3" s="17">
        <f t="shared" si="1"/>
        <v>0</v>
      </c>
      <c r="J3" s="16">
        <v>2</v>
      </c>
      <c r="K3" s="16">
        <v>3</v>
      </c>
      <c r="L3" s="17">
        <f t="shared" si="2"/>
        <v>0.66666666666666663</v>
      </c>
      <c r="M3" s="16">
        <v>3</v>
      </c>
      <c r="N3" s="16">
        <v>1</v>
      </c>
      <c r="O3" s="16">
        <v>1</v>
      </c>
      <c r="P3" s="16">
        <v>0</v>
      </c>
      <c r="Q3" s="16">
        <v>1</v>
      </c>
      <c r="R3" s="16">
        <v>4</v>
      </c>
    </row>
    <row r="4" spans="1:19" x14ac:dyDescent="0.25">
      <c r="A4" s="26">
        <v>42160</v>
      </c>
      <c r="B4" s="26"/>
      <c r="C4" s="6" t="s">
        <v>54</v>
      </c>
      <c r="D4" s="23">
        <v>2</v>
      </c>
      <c r="E4" s="23">
        <v>7</v>
      </c>
      <c r="F4" s="24">
        <f t="shared" si="0"/>
        <v>0.2857142857142857</v>
      </c>
      <c r="G4" s="23">
        <v>1</v>
      </c>
      <c r="H4" s="23">
        <v>4</v>
      </c>
      <c r="I4" s="24">
        <f t="shared" si="1"/>
        <v>0.25</v>
      </c>
      <c r="J4" s="23">
        <v>1</v>
      </c>
      <c r="K4" s="23">
        <v>2</v>
      </c>
      <c r="L4" s="24">
        <f t="shared" si="2"/>
        <v>0.5</v>
      </c>
      <c r="M4" s="23">
        <v>2</v>
      </c>
      <c r="N4" s="23">
        <v>0</v>
      </c>
      <c r="O4" s="23">
        <v>0</v>
      </c>
      <c r="P4" s="23">
        <v>0</v>
      </c>
      <c r="Q4" s="23">
        <v>1</v>
      </c>
      <c r="R4" s="25">
        <v>6</v>
      </c>
    </row>
    <row r="5" spans="1:19" x14ac:dyDescent="0.25">
      <c r="A5" s="26">
        <v>42160</v>
      </c>
      <c r="B5" s="26"/>
      <c r="C5" s="6" t="s">
        <v>55</v>
      </c>
      <c r="D5" s="23">
        <v>4</v>
      </c>
      <c r="E5" s="23">
        <v>13</v>
      </c>
      <c r="F5" s="24">
        <f t="shared" si="0"/>
        <v>0.30769230769230771</v>
      </c>
      <c r="G5" s="23">
        <v>1</v>
      </c>
      <c r="H5" s="23">
        <v>5</v>
      </c>
      <c r="I5" s="24">
        <f t="shared" si="1"/>
        <v>0.2</v>
      </c>
      <c r="J5" s="23">
        <v>0</v>
      </c>
      <c r="K5" s="23">
        <v>0</v>
      </c>
      <c r="L5" s="24">
        <f t="shared" si="2"/>
        <v>0</v>
      </c>
      <c r="M5" s="23">
        <v>3</v>
      </c>
      <c r="N5" s="23">
        <v>1</v>
      </c>
      <c r="O5" s="23">
        <v>0</v>
      </c>
      <c r="P5" s="23">
        <v>2</v>
      </c>
      <c r="Q5" s="23">
        <v>0</v>
      </c>
      <c r="R5" s="25">
        <v>9</v>
      </c>
    </row>
    <row r="6" spans="1:19" x14ac:dyDescent="0.25">
      <c r="A6" s="26">
        <v>42160</v>
      </c>
      <c r="B6" s="26"/>
      <c r="C6" s="6" t="s">
        <v>56</v>
      </c>
      <c r="D6" s="23">
        <v>3</v>
      </c>
      <c r="E6" s="23">
        <v>7</v>
      </c>
      <c r="F6" s="24">
        <f t="shared" si="0"/>
        <v>0.42857142857142855</v>
      </c>
      <c r="G6" s="23">
        <v>1</v>
      </c>
      <c r="H6" s="23">
        <v>2</v>
      </c>
      <c r="I6" s="24">
        <f t="shared" si="1"/>
        <v>0.5</v>
      </c>
      <c r="J6" s="23">
        <v>6</v>
      </c>
      <c r="K6" s="23">
        <v>6</v>
      </c>
      <c r="L6" s="24">
        <f t="shared" si="2"/>
        <v>1</v>
      </c>
      <c r="M6" s="23">
        <v>5</v>
      </c>
      <c r="N6" s="23">
        <v>4</v>
      </c>
      <c r="O6" s="23">
        <v>2</v>
      </c>
      <c r="P6" s="23">
        <v>1</v>
      </c>
      <c r="Q6" s="23">
        <v>0</v>
      </c>
      <c r="R6" s="25">
        <v>13</v>
      </c>
    </row>
    <row r="7" spans="1:19" x14ac:dyDescent="0.25">
      <c r="A7" s="26">
        <v>42160</v>
      </c>
      <c r="B7" s="26"/>
      <c r="C7" s="6" t="s">
        <v>57</v>
      </c>
      <c r="D7" s="23">
        <v>2</v>
      </c>
      <c r="E7" s="23">
        <v>3</v>
      </c>
      <c r="F7" s="24">
        <f t="shared" si="0"/>
        <v>0.66666666666666663</v>
      </c>
      <c r="G7" s="23">
        <v>0</v>
      </c>
      <c r="H7" s="23">
        <v>0</v>
      </c>
      <c r="I7" s="24">
        <f t="shared" si="1"/>
        <v>0</v>
      </c>
      <c r="J7" s="23">
        <v>3</v>
      </c>
      <c r="K7" s="23">
        <v>4</v>
      </c>
      <c r="L7" s="24">
        <f t="shared" si="2"/>
        <v>0.75</v>
      </c>
      <c r="M7" s="23">
        <v>3</v>
      </c>
      <c r="N7" s="23">
        <v>1</v>
      </c>
      <c r="O7" s="23">
        <v>0</v>
      </c>
      <c r="P7" s="23">
        <v>0</v>
      </c>
      <c r="Q7" s="23">
        <v>0</v>
      </c>
      <c r="R7" s="25">
        <v>7</v>
      </c>
    </row>
    <row r="8" spans="1:19" x14ac:dyDescent="0.25">
      <c r="A8" s="26">
        <v>42161</v>
      </c>
      <c r="B8" s="26"/>
      <c r="C8" s="22" t="s">
        <v>90</v>
      </c>
      <c r="D8" s="23">
        <v>2</v>
      </c>
      <c r="E8" s="23">
        <v>4</v>
      </c>
      <c r="F8" s="24">
        <f t="shared" si="0"/>
        <v>0.5</v>
      </c>
      <c r="G8" s="23">
        <v>0</v>
      </c>
      <c r="H8" s="23">
        <v>0</v>
      </c>
      <c r="I8" s="24">
        <f t="shared" si="1"/>
        <v>0</v>
      </c>
      <c r="J8" s="23">
        <v>6</v>
      </c>
      <c r="K8" s="23">
        <v>6</v>
      </c>
      <c r="L8" s="24">
        <f t="shared" si="2"/>
        <v>1</v>
      </c>
      <c r="M8" s="23">
        <v>5</v>
      </c>
      <c r="N8" s="23">
        <v>2</v>
      </c>
      <c r="O8" s="23">
        <v>1</v>
      </c>
      <c r="P8" s="23">
        <v>3</v>
      </c>
      <c r="Q8" s="23">
        <v>0</v>
      </c>
      <c r="R8" s="25">
        <v>10</v>
      </c>
    </row>
    <row r="9" spans="1:19" x14ac:dyDescent="0.25">
      <c r="A9" s="26">
        <v>42161</v>
      </c>
      <c r="B9" s="26"/>
      <c r="C9" s="22" t="s">
        <v>56</v>
      </c>
      <c r="D9" s="23">
        <v>5</v>
      </c>
      <c r="E9" s="23">
        <v>11</v>
      </c>
      <c r="F9" s="24">
        <f t="shared" si="0"/>
        <v>0.45454545454545453</v>
      </c>
      <c r="G9" s="23">
        <v>1</v>
      </c>
      <c r="H9" s="23">
        <v>3</v>
      </c>
      <c r="I9" s="24">
        <f t="shared" si="1"/>
        <v>0.33333333333333331</v>
      </c>
      <c r="J9" s="23">
        <v>0</v>
      </c>
      <c r="K9" s="23">
        <v>0</v>
      </c>
      <c r="L9" s="24">
        <f t="shared" si="2"/>
        <v>0</v>
      </c>
      <c r="M9" s="23">
        <v>5</v>
      </c>
      <c r="N9" s="23">
        <v>6</v>
      </c>
      <c r="O9" s="23">
        <v>1</v>
      </c>
      <c r="P9" s="23">
        <v>1</v>
      </c>
      <c r="Q9" s="23">
        <v>0</v>
      </c>
      <c r="R9" s="25">
        <v>11</v>
      </c>
    </row>
    <row r="10" spans="1:19" x14ac:dyDescent="0.25">
      <c r="A10" s="26">
        <v>42161</v>
      </c>
      <c r="B10" s="26"/>
      <c r="C10" s="22" t="s">
        <v>52</v>
      </c>
      <c r="D10" s="23">
        <v>6</v>
      </c>
      <c r="E10" s="23">
        <v>14</v>
      </c>
      <c r="F10" s="24">
        <f t="shared" si="0"/>
        <v>0.42857142857142855</v>
      </c>
      <c r="G10" s="23">
        <v>2</v>
      </c>
      <c r="H10" s="23">
        <v>3</v>
      </c>
      <c r="I10" s="24">
        <f t="shared" si="1"/>
        <v>0.66666666666666663</v>
      </c>
      <c r="J10" s="23">
        <v>6</v>
      </c>
      <c r="K10" s="23">
        <v>7</v>
      </c>
      <c r="L10" s="24">
        <f t="shared" si="2"/>
        <v>0.8571428571428571</v>
      </c>
      <c r="M10" s="23">
        <v>2</v>
      </c>
      <c r="N10" s="23">
        <v>8</v>
      </c>
      <c r="O10" s="23">
        <v>3</v>
      </c>
      <c r="P10" s="23">
        <v>3</v>
      </c>
      <c r="Q10" s="23">
        <v>0</v>
      </c>
      <c r="R10" s="25">
        <v>20</v>
      </c>
    </row>
    <row r="11" spans="1:19" x14ac:dyDescent="0.25">
      <c r="A11" s="26">
        <v>42161</v>
      </c>
      <c r="B11" s="26"/>
      <c r="C11" s="22" t="s">
        <v>89</v>
      </c>
      <c r="D11" s="23">
        <v>5</v>
      </c>
      <c r="E11" s="23">
        <v>18</v>
      </c>
      <c r="F11" s="24">
        <f t="shared" si="0"/>
        <v>0.27777777777777779</v>
      </c>
      <c r="G11" s="23">
        <v>0</v>
      </c>
      <c r="H11" s="23">
        <v>1</v>
      </c>
      <c r="I11" s="24">
        <f t="shared" si="1"/>
        <v>0</v>
      </c>
      <c r="J11" s="23">
        <v>0</v>
      </c>
      <c r="K11" s="23">
        <v>0</v>
      </c>
      <c r="L11" s="24">
        <f t="shared" si="2"/>
        <v>0</v>
      </c>
      <c r="M11" s="23">
        <v>12</v>
      </c>
      <c r="N11" s="23">
        <v>2</v>
      </c>
      <c r="O11" s="23">
        <v>0</v>
      </c>
      <c r="P11" s="23">
        <v>1</v>
      </c>
      <c r="Q11" s="23">
        <v>0</v>
      </c>
      <c r="R11" s="25">
        <v>10</v>
      </c>
    </row>
    <row r="12" spans="1:19" x14ac:dyDescent="0.25">
      <c r="A12" s="102">
        <v>42162</v>
      </c>
      <c r="B12" s="102"/>
      <c r="C12" s="103" t="s">
        <v>55</v>
      </c>
      <c r="D12" s="104">
        <v>3</v>
      </c>
      <c r="E12" s="104">
        <v>9</v>
      </c>
      <c r="F12" s="105">
        <f t="shared" si="0"/>
        <v>0.33333333333333331</v>
      </c>
      <c r="G12" s="104">
        <v>2</v>
      </c>
      <c r="H12" s="104">
        <v>5</v>
      </c>
      <c r="I12" s="105">
        <f t="shared" si="1"/>
        <v>0.4</v>
      </c>
      <c r="J12" s="104">
        <v>0</v>
      </c>
      <c r="K12" s="104">
        <v>0</v>
      </c>
      <c r="L12" s="105">
        <f t="shared" si="2"/>
        <v>0</v>
      </c>
      <c r="M12" s="104">
        <v>3</v>
      </c>
      <c r="N12" s="104">
        <v>2</v>
      </c>
      <c r="O12" s="104">
        <v>0</v>
      </c>
      <c r="P12" s="104">
        <v>0</v>
      </c>
      <c r="Q12" s="104">
        <v>0</v>
      </c>
      <c r="R12" s="106">
        <v>8</v>
      </c>
    </row>
    <row r="13" spans="1:19" x14ac:dyDescent="0.25">
      <c r="A13" s="43">
        <v>42162</v>
      </c>
      <c r="B13" s="43"/>
      <c r="C13" s="22" t="s">
        <v>53</v>
      </c>
      <c r="D13" s="23">
        <v>6</v>
      </c>
      <c r="E13" s="23">
        <v>11</v>
      </c>
      <c r="F13" s="38">
        <f t="shared" si="0"/>
        <v>0.54545454545454541</v>
      </c>
      <c r="G13" s="23">
        <v>0</v>
      </c>
      <c r="H13" s="23">
        <v>0</v>
      </c>
      <c r="I13" s="38">
        <f t="shared" si="1"/>
        <v>0</v>
      </c>
      <c r="J13" s="23">
        <v>4</v>
      </c>
      <c r="K13" s="23">
        <v>4</v>
      </c>
      <c r="L13" s="38">
        <f t="shared" si="2"/>
        <v>1</v>
      </c>
      <c r="M13" s="23">
        <v>14</v>
      </c>
      <c r="N13" s="23">
        <v>2</v>
      </c>
      <c r="O13" s="23">
        <v>1</v>
      </c>
      <c r="P13" s="23">
        <v>2</v>
      </c>
      <c r="Q13" s="23">
        <v>0</v>
      </c>
      <c r="R13" s="25">
        <v>16</v>
      </c>
    </row>
    <row r="14" spans="1:19" x14ac:dyDescent="0.25">
      <c r="A14" s="14">
        <v>42164</v>
      </c>
      <c r="B14" s="15"/>
      <c r="C14" s="15" t="s">
        <v>90</v>
      </c>
      <c r="D14" s="16">
        <v>4</v>
      </c>
      <c r="E14" s="16">
        <v>6</v>
      </c>
      <c r="F14" s="19">
        <f t="shared" si="0"/>
        <v>0.66666666666666663</v>
      </c>
      <c r="G14" s="16">
        <v>2</v>
      </c>
      <c r="H14" s="16">
        <v>2</v>
      </c>
      <c r="I14" s="19">
        <f t="shared" si="1"/>
        <v>1</v>
      </c>
      <c r="J14" s="16">
        <v>2</v>
      </c>
      <c r="K14" s="16">
        <v>3</v>
      </c>
      <c r="L14" s="19">
        <f t="shared" si="2"/>
        <v>0.66666666666666663</v>
      </c>
      <c r="M14" s="16">
        <v>3</v>
      </c>
      <c r="N14" s="16">
        <v>5</v>
      </c>
      <c r="O14" s="16">
        <v>0</v>
      </c>
      <c r="P14" s="16">
        <v>0</v>
      </c>
      <c r="Q14" s="16">
        <v>0</v>
      </c>
      <c r="R14" s="16">
        <v>12</v>
      </c>
      <c r="S14" s="6"/>
    </row>
    <row r="15" spans="1:19" x14ac:dyDescent="0.25">
      <c r="A15" s="26">
        <v>42164</v>
      </c>
      <c r="B15" s="26"/>
      <c r="C15" s="22" t="s">
        <v>102</v>
      </c>
      <c r="D15" s="23">
        <v>3</v>
      </c>
      <c r="E15" s="23">
        <v>15</v>
      </c>
      <c r="F15" s="38">
        <f t="shared" si="0"/>
        <v>0.2</v>
      </c>
      <c r="G15" s="23">
        <v>2</v>
      </c>
      <c r="H15" s="23">
        <v>9</v>
      </c>
      <c r="I15" s="38">
        <f t="shared" si="1"/>
        <v>0.22222222222222221</v>
      </c>
      <c r="J15" s="23">
        <v>2</v>
      </c>
      <c r="K15" s="23">
        <v>2</v>
      </c>
      <c r="L15" s="38">
        <f t="shared" si="2"/>
        <v>1</v>
      </c>
      <c r="M15" s="23">
        <v>3</v>
      </c>
      <c r="N15" s="23">
        <v>3</v>
      </c>
      <c r="O15" s="23">
        <v>2</v>
      </c>
      <c r="P15" s="23">
        <v>4</v>
      </c>
      <c r="Q15" s="23">
        <v>0</v>
      </c>
      <c r="R15" s="25">
        <v>10</v>
      </c>
    </row>
    <row r="16" spans="1:19" x14ac:dyDescent="0.25">
      <c r="A16" s="26">
        <v>42164</v>
      </c>
      <c r="B16" s="26"/>
      <c r="C16" s="22" t="s">
        <v>52</v>
      </c>
      <c r="D16" s="23">
        <v>3</v>
      </c>
      <c r="E16" s="23">
        <v>9</v>
      </c>
      <c r="F16" s="38">
        <f t="shared" si="0"/>
        <v>0.33333333333333331</v>
      </c>
      <c r="G16" s="23">
        <v>0</v>
      </c>
      <c r="H16" s="23">
        <v>2</v>
      </c>
      <c r="I16" s="38">
        <f t="shared" si="1"/>
        <v>0</v>
      </c>
      <c r="J16" s="23">
        <v>5</v>
      </c>
      <c r="K16" s="23">
        <v>6</v>
      </c>
      <c r="L16" s="38">
        <f t="shared" si="2"/>
        <v>0.83333333333333337</v>
      </c>
      <c r="M16" s="23">
        <v>6</v>
      </c>
      <c r="N16" s="23">
        <v>5</v>
      </c>
      <c r="O16" s="23">
        <v>2</v>
      </c>
      <c r="P16" s="23">
        <v>0</v>
      </c>
      <c r="Q16" s="23">
        <v>0</v>
      </c>
      <c r="R16" s="25">
        <v>11</v>
      </c>
    </row>
    <row r="17" spans="1:18" x14ac:dyDescent="0.25">
      <c r="A17" s="43">
        <v>42166</v>
      </c>
      <c r="B17" s="43"/>
      <c r="C17" s="22" t="s">
        <v>55</v>
      </c>
      <c r="D17" s="23">
        <v>4</v>
      </c>
      <c r="E17" s="23">
        <v>8</v>
      </c>
      <c r="F17" s="38">
        <f t="shared" si="0"/>
        <v>0.5</v>
      </c>
      <c r="G17" s="23">
        <v>1</v>
      </c>
      <c r="H17" s="23">
        <v>2</v>
      </c>
      <c r="I17" s="38">
        <f t="shared" si="1"/>
        <v>0.5</v>
      </c>
      <c r="J17" s="23">
        <v>0</v>
      </c>
      <c r="K17" s="23">
        <v>0</v>
      </c>
      <c r="L17" s="38">
        <f t="shared" si="2"/>
        <v>0</v>
      </c>
      <c r="M17" s="23">
        <v>7</v>
      </c>
      <c r="N17" s="23">
        <v>2</v>
      </c>
      <c r="O17" s="23">
        <v>0</v>
      </c>
      <c r="P17" s="23">
        <v>3</v>
      </c>
      <c r="Q17" s="23">
        <v>0</v>
      </c>
      <c r="R17" s="25">
        <v>9</v>
      </c>
    </row>
    <row r="18" spans="1:18" x14ac:dyDescent="0.25">
      <c r="A18" s="43">
        <v>42166</v>
      </c>
      <c r="B18" s="43"/>
      <c r="C18" s="22" t="s">
        <v>57</v>
      </c>
      <c r="D18" s="23">
        <v>0</v>
      </c>
      <c r="E18" s="23">
        <v>1</v>
      </c>
      <c r="F18" s="38">
        <f t="shared" si="0"/>
        <v>0</v>
      </c>
      <c r="G18" s="23">
        <v>0</v>
      </c>
      <c r="H18" s="23">
        <v>0</v>
      </c>
      <c r="I18" s="38">
        <f t="shared" si="1"/>
        <v>0</v>
      </c>
      <c r="J18" s="23">
        <v>0</v>
      </c>
      <c r="K18" s="23">
        <v>0</v>
      </c>
      <c r="L18" s="38">
        <f t="shared" si="2"/>
        <v>0</v>
      </c>
      <c r="M18" s="23">
        <v>0</v>
      </c>
      <c r="N18" s="23">
        <v>1</v>
      </c>
      <c r="O18" s="23">
        <v>0</v>
      </c>
      <c r="P18" s="23">
        <v>0</v>
      </c>
      <c r="Q18" s="23">
        <v>0</v>
      </c>
      <c r="R18" s="25">
        <v>0</v>
      </c>
    </row>
    <row r="19" spans="1:18" x14ac:dyDescent="0.25">
      <c r="A19" s="43">
        <v>42166</v>
      </c>
      <c r="B19" s="43"/>
      <c r="C19" s="22" t="s">
        <v>53</v>
      </c>
      <c r="D19" s="23">
        <v>3</v>
      </c>
      <c r="E19" s="23">
        <v>11</v>
      </c>
      <c r="F19" s="38">
        <f t="shared" si="0"/>
        <v>0.27272727272727271</v>
      </c>
      <c r="G19" s="23">
        <v>0</v>
      </c>
      <c r="H19" s="23">
        <v>0</v>
      </c>
      <c r="I19" s="38">
        <f t="shared" si="1"/>
        <v>0</v>
      </c>
      <c r="J19" s="23">
        <v>2</v>
      </c>
      <c r="K19" s="23">
        <v>3</v>
      </c>
      <c r="L19" s="38">
        <f t="shared" si="2"/>
        <v>0.66666666666666663</v>
      </c>
      <c r="M19" s="23">
        <v>10</v>
      </c>
      <c r="N19" s="23">
        <v>2</v>
      </c>
      <c r="O19" s="23">
        <v>1</v>
      </c>
      <c r="P19" s="23">
        <v>1</v>
      </c>
      <c r="Q19" s="23">
        <v>1</v>
      </c>
      <c r="R19" s="25">
        <v>8</v>
      </c>
    </row>
    <row r="20" spans="1:18" x14ac:dyDescent="0.25">
      <c r="A20" s="43">
        <v>42166</v>
      </c>
      <c r="B20" s="43"/>
      <c r="C20" s="22" t="s">
        <v>90</v>
      </c>
      <c r="D20" s="23">
        <v>2</v>
      </c>
      <c r="E20" s="23">
        <v>4</v>
      </c>
      <c r="F20" s="38">
        <f t="shared" si="0"/>
        <v>0.5</v>
      </c>
      <c r="G20" s="23">
        <v>0</v>
      </c>
      <c r="H20" s="23">
        <v>0</v>
      </c>
      <c r="I20" s="38">
        <f t="shared" si="1"/>
        <v>0</v>
      </c>
      <c r="J20" s="23">
        <v>2</v>
      </c>
      <c r="K20" s="23">
        <v>2</v>
      </c>
      <c r="L20" s="38">
        <f t="shared" si="2"/>
        <v>1</v>
      </c>
      <c r="M20" s="23">
        <v>0</v>
      </c>
      <c r="N20" s="23">
        <v>2</v>
      </c>
      <c r="O20" s="23">
        <v>0</v>
      </c>
      <c r="P20" s="23">
        <v>4</v>
      </c>
      <c r="Q20" s="23">
        <v>0</v>
      </c>
      <c r="R20" s="25">
        <v>6</v>
      </c>
    </row>
    <row r="21" spans="1:18" x14ac:dyDescent="0.25">
      <c r="A21" s="43">
        <v>42166</v>
      </c>
      <c r="B21" s="43"/>
      <c r="C21" s="22" t="s">
        <v>102</v>
      </c>
      <c r="D21" s="23">
        <v>3</v>
      </c>
      <c r="E21" s="23">
        <v>6</v>
      </c>
      <c r="F21" s="38">
        <f t="shared" si="0"/>
        <v>0.5</v>
      </c>
      <c r="G21" s="23">
        <v>2</v>
      </c>
      <c r="H21" s="23">
        <v>4</v>
      </c>
      <c r="I21" s="38">
        <f t="shared" si="1"/>
        <v>0.5</v>
      </c>
      <c r="J21" s="23">
        <v>2</v>
      </c>
      <c r="K21" s="23">
        <v>2</v>
      </c>
      <c r="L21" s="38">
        <f t="shared" si="2"/>
        <v>1</v>
      </c>
      <c r="M21" s="23">
        <v>1</v>
      </c>
      <c r="N21" s="23">
        <v>5</v>
      </c>
      <c r="O21" s="23">
        <v>0</v>
      </c>
      <c r="P21" s="23">
        <v>2</v>
      </c>
      <c r="Q21" s="23">
        <v>1</v>
      </c>
      <c r="R21" s="25">
        <v>10</v>
      </c>
    </row>
    <row r="22" spans="1:18" x14ac:dyDescent="0.25">
      <c r="A22" s="43">
        <v>42166</v>
      </c>
      <c r="B22" s="43"/>
      <c r="C22" s="22" t="s">
        <v>56</v>
      </c>
      <c r="D22" s="23">
        <v>5</v>
      </c>
      <c r="E22" s="23">
        <v>7</v>
      </c>
      <c r="F22" s="38">
        <f t="shared" si="0"/>
        <v>0.7142857142857143</v>
      </c>
      <c r="G22" s="23">
        <v>0</v>
      </c>
      <c r="H22" s="23">
        <v>0</v>
      </c>
      <c r="I22" s="38">
        <f t="shared" si="1"/>
        <v>0</v>
      </c>
      <c r="J22" s="23">
        <v>3</v>
      </c>
      <c r="K22" s="23">
        <v>3</v>
      </c>
      <c r="L22" s="38">
        <f t="shared" si="2"/>
        <v>1</v>
      </c>
      <c r="M22" s="23">
        <v>4</v>
      </c>
      <c r="N22" s="23">
        <v>4</v>
      </c>
      <c r="O22" s="23">
        <v>0</v>
      </c>
      <c r="P22" s="23">
        <v>0</v>
      </c>
      <c r="Q22" s="23">
        <v>1</v>
      </c>
      <c r="R22" s="25">
        <v>13</v>
      </c>
    </row>
    <row r="23" spans="1:18" x14ac:dyDescent="0.25">
      <c r="A23" s="43">
        <v>42167</v>
      </c>
      <c r="B23" s="43"/>
      <c r="C23" s="22" t="s">
        <v>53</v>
      </c>
      <c r="D23" s="23">
        <v>2</v>
      </c>
      <c r="E23" s="23">
        <v>5</v>
      </c>
      <c r="F23" s="38">
        <f t="shared" si="0"/>
        <v>0.4</v>
      </c>
      <c r="G23" s="23">
        <v>0</v>
      </c>
      <c r="H23" s="23">
        <v>0</v>
      </c>
      <c r="I23" s="38">
        <f t="shared" si="1"/>
        <v>0</v>
      </c>
      <c r="J23" s="23">
        <v>0</v>
      </c>
      <c r="K23" s="23">
        <v>0</v>
      </c>
      <c r="L23" s="38">
        <f t="shared" si="2"/>
        <v>0</v>
      </c>
      <c r="M23" s="23">
        <v>2</v>
      </c>
      <c r="N23" s="23">
        <v>2</v>
      </c>
      <c r="O23" s="23">
        <v>2</v>
      </c>
      <c r="P23" s="23">
        <v>2</v>
      </c>
      <c r="Q23" s="23">
        <v>0</v>
      </c>
      <c r="R23" s="25">
        <v>4</v>
      </c>
    </row>
    <row r="24" spans="1:18" x14ac:dyDescent="0.25">
      <c r="A24" s="43">
        <v>42169</v>
      </c>
      <c r="B24" s="43"/>
      <c r="C24" s="22" t="s">
        <v>55</v>
      </c>
      <c r="D24" s="23">
        <v>0</v>
      </c>
      <c r="E24" s="23">
        <v>1</v>
      </c>
      <c r="F24" s="38">
        <f t="shared" si="0"/>
        <v>0</v>
      </c>
      <c r="G24" s="23">
        <v>0</v>
      </c>
      <c r="H24" s="23">
        <v>1</v>
      </c>
      <c r="I24" s="38">
        <f t="shared" si="1"/>
        <v>0</v>
      </c>
      <c r="J24" s="23">
        <v>0</v>
      </c>
      <c r="K24" s="23">
        <v>0</v>
      </c>
      <c r="L24" s="38">
        <f t="shared" si="2"/>
        <v>0</v>
      </c>
      <c r="M24" s="23">
        <v>7</v>
      </c>
      <c r="N24" s="23">
        <v>1</v>
      </c>
      <c r="O24" s="23">
        <v>2</v>
      </c>
      <c r="P24" s="23">
        <v>3</v>
      </c>
      <c r="Q24" s="23">
        <v>0</v>
      </c>
      <c r="R24" s="25">
        <v>0</v>
      </c>
    </row>
    <row r="25" spans="1:18" x14ac:dyDescent="0.25">
      <c r="A25" s="43">
        <v>42169</v>
      </c>
      <c r="B25" s="43"/>
      <c r="C25" s="22" t="s">
        <v>53</v>
      </c>
      <c r="D25" s="23">
        <v>4</v>
      </c>
      <c r="E25" s="23">
        <v>6</v>
      </c>
      <c r="F25" s="38">
        <f t="shared" si="0"/>
        <v>0.66666666666666663</v>
      </c>
      <c r="G25" s="23">
        <v>0</v>
      </c>
      <c r="H25" s="23">
        <v>0</v>
      </c>
      <c r="I25" s="38">
        <f t="shared" si="1"/>
        <v>0</v>
      </c>
      <c r="J25" s="23">
        <v>1</v>
      </c>
      <c r="K25" s="23">
        <v>2</v>
      </c>
      <c r="L25" s="38">
        <f t="shared" si="2"/>
        <v>0.5</v>
      </c>
      <c r="M25" s="23">
        <v>10</v>
      </c>
      <c r="N25" s="23">
        <v>4</v>
      </c>
      <c r="O25" s="23">
        <v>4</v>
      </c>
      <c r="P25" s="23">
        <v>2</v>
      </c>
      <c r="Q25" s="23">
        <v>0</v>
      </c>
      <c r="R25" s="25">
        <v>9</v>
      </c>
    </row>
    <row r="26" spans="1:18" x14ac:dyDescent="0.25">
      <c r="A26" s="43">
        <v>42169</v>
      </c>
      <c r="B26" s="43"/>
      <c r="C26" s="22" t="s">
        <v>89</v>
      </c>
      <c r="D26" s="23">
        <v>5</v>
      </c>
      <c r="E26" s="23">
        <v>10</v>
      </c>
      <c r="F26" s="38">
        <f t="shared" si="0"/>
        <v>0.5</v>
      </c>
      <c r="G26" s="23">
        <v>1</v>
      </c>
      <c r="H26" s="23">
        <v>1</v>
      </c>
      <c r="I26" s="38">
        <f t="shared" si="1"/>
        <v>1</v>
      </c>
      <c r="J26" s="23">
        <v>1</v>
      </c>
      <c r="K26" s="23">
        <v>2</v>
      </c>
      <c r="L26" s="38">
        <f t="shared" si="2"/>
        <v>0.5</v>
      </c>
      <c r="M26" s="23">
        <v>9</v>
      </c>
      <c r="N26" s="23">
        <v>1</v>
      </c>
      <c r="O26" s="23">
        <v>0</v>
      </c>
      <c r="P26" s="23">
        <v>2</v>
      </c>
      <c r="Q26" s="23">
        <v>0</v>
      </c>
      <c r="R26" s="25">
        <v>12</v>
      </c>
    </row>
    <row r="27" spans="1:18" x14ac:dyDescent="0.25">
      <c r="A27" s="117">
        <v>42169</v>
      </c>
      <c r="B27" s="117"/>
      <c r="C27" s="111" t="s">
        <v>52</v>
      </c>
      <c r="D27" s="112">
        <v>8</v>
      </c>
      <c r="E27" s="112">
        <v>20</v>
      </c>
      <c r="F27" s="114">
        <f t="shared" si="0"/>
        <v>0.4</v>
      </c>
      <c r="G27" s="112">
        <v>0</v>
      </c>
      <c r="H27" s="112">
        <v>1</v>
      </c>
      <c r="I27" s="114">
        <f t="shared" si="1"/>
        <v>0</v>
      </c>
      <c r="J27" s="112">
        <v>5</v>
      </c>
      <c r="K27" s="112">
        <v>7</v>
      </c>
      <c r="L27" s="114">
        <f t="shared" si="2"/>
        <v>0.7142857142857143</v>
      </c>
      <c r="M27" s="112">
        <v>4</v>
      </c>
      <c r="N27" s="112">
        <v>2</v>
      </c>
      <c r="O27" s="112">
        <v>2</v>
      </c>
      <c r="P27" s="112">
        <v>0</v>
      </c>
      <c r="Q27" s="112">
        <v>0</v>
      </c>
      <c r="R27" s="115">
        <v>21</v>
      </c>
    </row>
    <row r="28" spans="1:18" x14ac:dyDescent="0.25">
      <c r="A28" s="117">
        <v>42169</v>
      </c>
      <c r="B28" s="117"/>
      <c r="C28" s="111" t="s">
        <v>90</v>
      </c>
      <c r="D28" s="112">
        <v>2</v>
      </c>
      <c r="E28" s="112">
        <v>5</v>
      </c>
      <c r="F28" s="114">
        <f t="shared" si="0"/>
        <v>0.4</v>
      </c>
      <c r="G28" s="112">
        <v>0</v>
      </c>
      <c r="H28" s="112">
        <v>0</v>
      </c>
      <c r="I28" s="114">
        <f t="shared" si="1"/>
        <v>0</v>
      </c>
      <c r="J28" s="112">
        <v>0</v>
      </c>
      <c r="K28" s="112">
        <v>0</v>
      </c>
      <c r="L28" s="114">
        <f t="shared" si="2"/>
        <v>0</v>
      </c>
      <c r="M28" s="112">
        <v>4</v>
      </c>
      <c r="N28" s="112">
        <v>3</v>
      </c>
      <c r="O28" s="112">
        <v>2</v>
      </c>
      <c r="P28" s="112">
        <v>2</v>
      </c>
      <c r="Q28" s="112">
        <v>1</v>
      </c>
      <c r="R28" s="115">
        <v>4</v>
      </c>
    </row>
    <row r="29" spans="1:18" x14ac:dyDescent="0.25">
      <c r="A29" s="117">
        <v>42169</v>
      </c>
      <c r="B29" s="117"/>
      <c r="C29" s="111" t="s">
        <v>56</v>
      </c>
      <c r="D29" s="112">
        <v>6</v>
      </c>
      <c r="E29" s="112">
        <v>10</v>
      </c>
      <c r="F29" s="114">
        <f t="shared" si="0"/>
        <v>0.6</v>
      </c>
      <c r="G29" s="112">
        <v>2</v>
      </c>
      <c r="H29" s="112">
        <v>3</v>
      </c>
      <c r="I29" s="114">
        <f t="shared" si="1"/>
        <v>0.66666666666666663</v>
      </c>
      <c r="J29" s="112">
        <v>0</v>
      </c>
      <c r="K29" s="112">
        <v>0</v>
      </c>
      <c r="L29" s="114">
        <f t="shared" si="2"/>
        <v>0</v>
      </c>
      <c r="M29" s="112">
        <v>0</v>
      </c>
      <c r="N29" s="112">
        <v>4</v>
      </c>
      <c r="O29" s="112">
        <v>3</v>
      </c>
      <c r="P29" s="112">
        <v>3</v>
      </c>
      <c r="Q29" s="112">
        <v>2</v>
      </c>
      <c r="R29" s="115">
        <v>14</v>
      </c>
    </row>
    <row r="30" spans="1:18" x14ac:dyDescent="0.25">
      <c r="A30" s="117">
        <v>42171</v>
      </c>
      <c r="B30" s="117"/>
      <c r="C30" s="111" t="s">
        <v>52</v>
      </c>
      <c r="D30" s="112">
        <v>4</v>
      </c>
      <c r="E30" s="112">
        <v>10</v>
      </c>
      <c r="F30" s="114">
        <f t="shared" si="0"/>
        <v>0.4</v>
      </c>
      <c r="G30" s="112">
        <v>1</v>
      </c>
      <c r="H30" s="112">
        <v>3</v>
      </c>
      <c r="I30" s="114">
        <f t="shared" si="1"/>
        <v>0.33333333333333331</v>
      </c>
      <c r="J30" s="112">
        <v>4</v>
      </c>
      <c r="K30" s="112">
        <v>4</v>
      </c>
      <c r="L30" s="114">
        <f t="shared" si="2"/>
        <v>1</v>
      </c>
      <c r="M30" s="112">
        <v>3</v>
      </c>
      <c r="N30" s="112">
        <v>3</v>
      </c>
      <c r="O30" s="112">
        <v>0</v>
      </c>
      <c r="P30" s="112">
        <v>3</v>
      </c>
      <c r="Q30" s="112">
        <v>2</v>
      </c>
      <c r="R30" s="115">
        <v>13</v>
      </c>
    </row>
    <row r="31" spans="1:18" x14ac:dyDescent="0.25">
      <c r="A31" s="43">
        <v>42171</v>
      </c>
      <c r="B31" s="43"/>
      <c r="C31" s="22" t="s">
        <v>55</v>
      </c>
      <c r="D31" s="23">
        <v>5</v>
      </c>
      <c r="E31" s="23">
        <v>9</v>
      </c>
      <c r="F31" s="38">
        <f t="shared" si="0"/>
        <v>0.55555555555555558</v>
      </c>
      <c r="G31" s="23">
        <v>2</v>
      </c>
      <c r="H31" s="23">
        <v>4</v>
      </c>
      <c r="I31" s="38">
        <f t="shared" si="1"/>
        <v>0.5</v>
      </c>
      <c r="J31" s="23">
        <v>0</v>
      </c>
      <c r="K31" s="23">
        <v>0</v>
      </c>
      <c r="L31" s="38">
        <f t="shared" si="2"/>
        <v>0</v>
      </c>
      <c r="M31" s="23">
        <v>5</v>
      </c>
      <c r="N31" s="23">
        <v>1</v>
      </c>
      <c r="O31" s="23">
        <v>0</v>
      </c>
      <c r="P31" s="23">
        <v>1</v>
      </c>
      <c r="Q31" s="23">
        <v>0</v>
      </c>
      <c r="R31" s="25">
        <v>12</v>
      </c>
    </row>
    <row r="32" spans="1:18" x14ac:dyDescent="0.25">
      <c r="A32" s="43">
        <v>42171</v>
      </c>
      <c r="B32" s="43"/>
      <c r="C32" s="22" t="s">
        <v>57</v>
      </c>
      <c r="D32" s="23">
        <v>6</v>
      </c>
      <c r="E32" s="23">
        <v>11</v>
      </c>
      <c r="F32" s="38">
        <f t="shared" si="0"/>
        <v>0.54545454545454541</v>
      </c>
      <c r="G32" s="23">
        <v>0</v>
      </c>
      <c r="H32" s="23">
        <v>0</v>
      </c>
      <c r="I32" s="38">
        <f t="shared" si="1"/>
        <v>0</v>
      </c>
      <c r="J32" s="23">
        <v>8</v>
      </c>
      <c r="K32" s="23">
        <v>8</v>
      </c>
      <c r="L32" s="38">
        <f t="shared" si="2"/>
        <v>1</v>
      </c>
      <c r="M32" s="23">
        <v>5</v>
      </c>
      <c r="N32" s="23">
        <v>0</v>
      </c>
      <c r="O32" s="23">
        <v>2</v>
      </c>
      <c r="P32" s="23">
        <v>1</v>
      </c>
      <c r="Q32" s="23">
        <v>0</v>
      </c>
      <c r="R32" s="25">
        <v>20</v>
      </c>
    </row>
    <row r="33" spans="1:18" x14ac:dyDescent="0.25">
      <c r="A33" s="43">
        <v>42171</v>
      </c>
      <c r="B33" s="43"/>
      <c r="C33" s="22" t="s">
        <v>102</v>
      </c>
      <c r="D33" s="23">
        <v>3</v>
      </c>
      <c r="E33" s="23">
        <v>7</v>
      </c>
      <c r="F33" s="38">
        <f t="shared" si="0"/>
        <v>0.42857142857142855</v>
      </c>
      <c r="G33" s="23">
        <v>0</v>
      </c>
      <c r="H33" s="23">
        <v>1</v>
      </c>
      <c r="I33" s="38">
        <f t="shared" si="1"/>
        <v>0</v>
      </c>
      <c r="J33" s="23">
        <v>0</v>
      </c>
      <c r="K33" s="23">
        <v>0</v>
      </c>
      <c r="L33" s="38">
        <f t="shared" si="2"/>
        <v>0</v>
      </c>
      <c r="M33" s="23">
        <v>4</v>
      </c>
      <c r="N33" s="23">
        <v>0</v>
      </c>
      <c r="O33" s="23">
        <v>2</v>
      </c>
      <c r="P33" s="23">
        <v>3</v>
      </c>
      <c r="Q33" s="23">
        <v>1</v>
      </c>
      <c r="R33" s="25">
        <v>6</v>
      </c>
    </row>
    <row r="34" spans="1:18" x14ac:dyDescent="0.25">
      <c r="A34" s="21">
        <v>42171</v>
      </c>
      <c r="B34" s="20"/>
      <c r="C34" s="15" t="s">
        <v>89</v>
      </c>
      <c r="D34" s="16">
        <v>6</v>
      </c>
      <c r="E34" s="16">
        <v>11</v>
      </c>
      <c r="F34" s="45">
        <f t="shared" ref="F34:F65" si="3">IF(E34=0,0,D34/E34)</f>
        <v>0.54545454545454541</v>
      </c>
      <c r="G34" s="16">
        <v>0</v>
      </c>
      <c r="H34" s="16">
        <v>1</v>
      </c>
      <c r="I34" s="45">
        <f t="shared" ref="I34:I65" si="4">IF(H34=0,0,G34/H34)</f>
        <v>0</v>
      </c>
      <c r="J34" s="16">
        <v>0</v>
      </c>
      <c r="K34" s="16">
        <v>0</v>
      </c>
      <c r="L34" s="45">
        <f t="shared" ref="L34:L65" si="5">IF(K34=0,0,J34/K34)</f>
        <v>0</v>
      </c>
      <c r="M34" s="16">
        <v>13</v>
      </c>
      <c r="N34" s="16">
        <v>0</v>
      </c>
      <c r="O34" s="16">
        <v>0</v>
      </c>
      <c r="P34" s="16">
        <v>1</v>
      </c>
      <c r="Q34" s="16">
        <v>1</v>
      </c>
      <c r="R34" s="16">
        <v>12</v>
      </c>
    </row>
    <row r="35" spans="1:18" s="10" customFormat="1" x14ac:dyDescent="0.25">
      <c r="A35" s="21">
        <v>42174</v>
      </c>
      <c r="B35" s="20"/>
      <c r="C35" s="15" t="s">
        <v>52</v>
      </c>
      <c r="D35" s="16">
        <v>3</v>
      </c>
      <c r="E35" s="16">
        <v>12</v>
      </c>
      <c r="F35" s="19">
        <f t="shared" si="3"/>
        <v>0.25</v>
      </c>
      <c r="G35" s="16">
        <v>3</v>
      </c>
      <c r="H35" s="16">
        <v>3</v>
      </c>
      <c r="I35" s="19">
        <f t="shared" si="4"/>
        <v>1</v>
      </c>
      <c r="J35" s="16">
        <v>5</v>
      </c>
      <c r="K35" s="16">
        <v>5</v>
      </c>
      <c r="L35" s="19">
        <f t="shared" si="5"/>
        <v>1</v>
      </c>
      <c r="M35" s="16">
        <v>3</v>
      </c>
      <c r="N35" s="16">
        <v>5</v>
      </c>
      <c r="O35" s="16">
        <v>0</v>
      </c>
      <c r="P35" s="16">
        <v>1</v>
      </c>
      <c r="Q35" s="16">
        <v>0</v>
      </c>
      <c r="R35" s="16">
        <v>14</v>
      </c>
    </row>
    <row r="36" spans="1:18" s="10" customFormat="1" x14ac:dyDescent="0.25">
      <c r="A36" s="21">
        <v>42174</v>
      </c>
      <c r="B36" s="20"/>
      <c r="C36" s="15" t="s">
        <v>57</v>
      </c>
      <c r="D36" s="16">
        <v>1</v>
      </c>
      <c r="E36" s="16">
        <v>3</v>
      </c>
      <c r="F36" s="19">
        <f t="shared" si="3"/>
        <v>0.33333333333333331</v>
      </c>
      <c r="G36" s="16">
        <v>0</v>
      </c>
      <c r="H36" s="16">
        <v>0</v>
      </c>
      <c r="I36" s="19">
        <f t="shared" si="4"/>
        <v>0</v>
      </c>
      <c r="J36" s="16">
        <v>4</v>
      </c>
      <c r="K36" s="16">
        <v>4</v>
      </c>
      <c r="L36" s="19">
        <f t="shared" si="5"/>
        <v>1</v>
      </c>
      <c r="M36" s="16">
        <v>5</v>
      </c>
      <c r="N36" s="16">
        <v>1</v>
      </c>
      <c r="O36" s="16">
        <v>1</v>
      </c>
      <c r="P36" s="16">
        <v>2</v>
      </c>
      <c r="Q36" s="16">
        <v>0</v>
      </c>
      <c r="R36" s="16">
        <v>6</v>
      </c>
    </row>
    <row r="37" spans="1:18" s="10" customFormat="1" x14ac:dyDescent="0.25">
      <c r="A37" s="21">
        <v>42174</v>
      </c>
      <c r="B37" s="20"/>
      <c r="C37" s="15" t="s">
        <v>56</v>
      </c>
      <c r="D37" s="16">
        <v>6</v>
      </c>
      <c r="E37" s="16">
        <v>13</v>
      </c>
      <c r="F37" s="19">
        <f t="shared" si="3"/>
        <v>0.46153846153846156</v>
      </c>
      <c r="G37" s="16">
        <v>3</v>
      </c>
      <c r="H37" s="16">
        <v>5</v>
      </c>
      <c r="I37" s="19">
        <f t="shared" si="4"/>
        <v>0.6</v>
      </c>
      <c r="J37" s="16">
        <v>3</v>
      </c>
      <c r="K37" s="16">
        <v>3</v>
      </c>
      <c r="L37" s="19">
        <f t="shared" si="5"/>
        <v>1</v>
      </c>
      <c r="M37" s="16">
        <v>4</v>
      </c>
      <c r="N37" s="16">
        <v>2</v>
      </c>
      <c r="O37" s="16">
        <v>2</v>
      </c>
      <c r="P37" s="16">
        <v>6</v>
      </c>
      <c r="Q37" s="16">
        <v>2</v>
      </c>
      <c r="R37" s="16">
        <v>18</v>
      </c>
    </row>
    <row r="38" spans="1:18" s="10" customFormat="1" x14ac:dyDescent="0.25">
      <c r="A38" s="21">
        <v>42174</v>
      </c>
      <c r="B38" s="20"/>
      <c r="C38" s="15" t="s">
        <v>53</v>
      </c>
      <c r="D38" s="16">
        <v>2</v>
      </c>
      <c r="E38" s="16">
        <v>6</v>
      </c>
      <c r="F38" s="19">
        <f t="shared" si="3"/>
        <v>0.33333333333333331</v>
      </c>
      <c r="G38" s="16">
        <v>0</v>
      </c>
      <c r="H38" s="16">
        <v>0</v>
      </c>
      <c r="I38" s="19">
        <f t="shared" si="4"/>
        <v>0</v>
      </c>
      <c r="J38" s="16">
        <v>0</v>
      </c>
      <c r="K38" s="16">
        <v>2</v>
      </c>
      <c r="L38" s="19">
        <f t="shared" si="5"/>
        <v>0</v>
      </c>
      <c r="M38" s="16">
        <v>4</v>
      </c>
      <c r="N38" s="16">
        <v>1</v>
      </c>
      <c r="O38" s="16">
        <v>3</v>
      </c>
      <c r="P38" s="16">
        <v>1</v>
      </c>
      <c r="Q38" s="16">
        <v>5</v>
      </c>
      <c r="R38" s="16">
        <v>4</v>
      </c>
    </row>
    <row r="39" spans="1:18" x14ac:dyDescent="0.25">
      <c r="A39" s="21">
        <v>42174</v>
      </c>
      <c r="B39" s="20"/>
      <c r="C39" s="15" t="s">
        <v>90</v>
      </c>
      <c r="D39" s="16">
        <v>5</v>
      </c>
      <c r="E39" s="16">
        <v>6</v>
      </c>
      <c r="F39" s="19">
        <f t="shared" si="3"/>
        <v>0.83333333333333337</v>
      </c>
      <c r="G39" s="16">
        <v>1</v>
      </c>
      <c r="H39" s="16">
        <v>1</v>
      </c>
      <c r="I39" s="19">
        <f t="shared" si="4"/>
        <v>1</v>
      </c>
      <c r="J39" s="16">
        <v>1</v>
      </c>
      <c r="K39" s="16">
        <v>1</v>
      </c>
      <c r="L39" s="19">
        <f t="shared" si="5"/>
        <v>1</v>
      </c>
      <c r="M39" s="16">
        <v>2</v>
      </c>
      <c r="N39" s="16">
        <v>0</v>
      </c>
      <c r="O39" s="16">
        <v>0</v>
      </c>
      <c r="P39" s="16">
        <v>5</v>
      </c>
      <c r="Q39" s="16">
        <v>1</v>
      </c>
      <c r="R39" s="16">
        <v>12</v>
      </c>
    </row>
    <row r="40" spans="1:18" x14ac:dyDescent="0.25">
      <c r="A40" s="21">
        <v>42175</v>
      </c>
      <c r="B40" s="20"/>
      <c r="C40" s="15" t="s">
        <v>56</v>
      </c>
      <c r="D40" s="16">
        <v>5</v>
      </c>
      <c r="E40" s="16">
        <v>9</v>
      </c>
      <c r="F40" s="19">
        <f t="shared" si="3"/>
        <v>0.55555555555555558</v>
      </c>
      <c r="G40" s="16">
        <v>1</v>
      </c>
      <c r="H40" s="16">
        <v>4</v>
      </c>
      <c r="I40" s="19">
        <f t="shared" si="4"/>
        <v>0.25</v>
      </c>
      <c r="J40" s="16">
        <v>0</v>
      </c>
      <c r="K40" s="16">
        <v>1</v>
      </c>
      <c r="L40" s="19">
        <f t="shared" si="5"/>
        <v>0</v>
      </c>
      <c r="M40" s="16">
        <v>3</v>
      </c>
      <c r="N40" s="16">
        <v>8</v>
      </c>
      <c r="O40" s="16">
        <v>3</v>
      </c>
      <c r="P40" s="16">
        <v>2</v>
      </c>
      <c r="Q40" s="16">
        <v>0</v>
      </c>
      <c r="R40" s="16">
        <v>11</v>
      </c>
    </row>
    <row r="41" spans="1:18" x14ac:dyDescent="0.25">
      <c r="A41" s="21">
        <v>42175</v>
      </c>
      <c r="B41" s="20"/>
      <c r="C41" s="15" t="s">
        <v>57</v>
      </c>
      <c r="D41" s="16">
        <v>6</v>
      </c>
      <c r="E41" s="16">
        <v>14</v>
      </c>
      <c r="F41" s="19">
        <f t="shared" si="3"/>
        <v>0.42857142857142855</v>
      </c>
      <c r="G41" s="16">
        <v>0</v>
      </c>
      <c r="H41" s="16">
        <v>0</v>
      </c>
      <c r="I41" s="19">
        <f t="shared" si="4"/>
        <v>0</v>
      </c>
      <c r="J41" s="16">
        <v>4</v>
      </c>
      <c r="K41" s="16">
        <v>4</v>
      </c>
      <c r="L41" s="19">
        <f t="shared" si="5"/>
        <v>1</v>
      </c>
      <c r="M41" s="16">
        <v>11</v>
      </c>
      <c r="N41" s="16">
        <v>5</v>
      </c>
      <c r="O41" s="16">
        <v>1</v>
      </c>
      <c r="P41" s="16">
        <v>3</v>
      </c>
      <c r="Q41" s="16">
        <v>1</v>
      </c>
      <c r="R41" s="16">
        <v>16</v>
      </c>
    </row>
    <row r="42" spans="1:18" x14ac:dyDescent="0.25">
      <c r="A42" s="21">
        <v>42176</v>
      </c>
      <c r="B42" s="20"/>
      <c r="C42" s="15" t="s">
        <v>90</v>
      </c>
      <c r="D42" s="16">
        <v>2</v>
      </c>
      <c r="E42" s="16">
        <v>3</v>
      </c>
      <c r="F42" s="19">
        <f t="shared" si="3"/>
        <v>0.66666666666666663</v>
      </c>
      <c r="G42" s="16">
        <v>0</v>
      </c>
      <c r="H42" s="16">
        <v>0</v>
      </c>
      <c r="I42" s="19">
        <f t="shared" si="4"/>
        <v>0</v>
      </c>
      <c r="J42" s="16">
        <v>0</v>
      </c>
      <c r="K42" s="16">
        <v>0</v>
      </c>
      <c r="L42" s="19">
        <f t="shared" si="5"/>
        <v>0</v>
      </c>
      <c r="M42" s="16">
        <v>1</v>
      </c>
      <c r="N42" s="16">
        <v>2</v>
      </c>
      <c r="O42" s="16">
        <v>1</v>
      </c>
      <c r="P42" s="16">
        <v>3</v>
      </c>
      <c r="Q42" s="16">
        <v>0</v>
      </c>
      <c r="R42" s="16">
        <v>4</v>
      </c>
    </row>
    <row r="43" spans="1:18" x14ac:dyDescent="0.25">
      <c r="A43" s="21">
        <v>42176</v>
      </c>
      <c r="B43" s="20"/>
      <c r="C43" s="15" t="s">
        <v>52</v>
      </c>
      <c r="D43" s="16">
        <v>9</v>
      </c>
      <c r="E43" s="16">
        <v>15</v>
      </c>
      <c r="F43" s="19">
        <f t="shared" si="3"/>
        <v>0.6</v>
      </c>
      <c r="G43" s="16">
        <v>3</v>
      </c>
      <c r="H43" s="16">
        <v>4</v>
      </c>
      <c r="I43" s="19">
        <f t="shared" si="4"/>
        <v>0.75</v>
      </c>
      <c r="J43" s="16">
        <v>5</v>
      </c>
      <c r="K43" s="16">
        <v>5</v>
      </c>
      <c r="L43" s="19">
        <f t="shared" si="5"/>
        <v>1</v>
      </c>
      <c r="M43" s="16">
        <v>2</v>
      </c>
      <c r="N43" s="16">
        <v>8</v>
      </c>
      <c r="O43" s="16">
        <v>2</v>
      </c>
      <c r="P43" s="16">
        <v>3</v>
      </c>
      <c r="Q43" s="16">
        <v>0</v>
      </c>
      <c r="R43" s="16">
        <v>26</v>
      </c>
    </row>
    <row r="44" spans="1:18" x14ac:dyDescent="0.25">
      <c r="A44" s="21">
        <v>42176</v>
      </c>
      <c r="B44" s="20"/>
      <c r="C44" s="15" t="s">
        <v>53</v>
      </c>
      <c r="D44" s="16">
        <v>5</v>
      </c>
      <c r="E44" s="16">
        <v>11</v>
      </c>
      <c r="F44" s="19">
        <f t="shared" si="3"/>
        <v>0.45454545454545453</v>
      </c>
      <c r="G44" s="16">
        <v>1</v>
      </c>
      <c r="H44" s="16">
        <v>2</v>
      </c>
      <c r="I44" s="19">
        <f t="shared" si="4"/>
        <v>0.5</v>
      </c>
      <c r="J44" s="16">
        <v>0</v>
      </c>
      <c r="K44" s="16">
        <v>1</v>
      </c>
      <c r="L44" s="19">
        <f t="shared" si="5"/>
        <v>0</v>
      </c>
      <c r="M44" s="16">
        <v>6</v>
      </c>
      <c r="N44" s="16">
        <v>1</v>
      </c>
      <c r="O44" s="16">
        <v>6</v>
      </c>
      <c r="P44" s="16">
        <v>4</v>
      </c>
      <c r="Q44" s="16">
        <v>0</v>
      </c>
      <c r="R44" s="16">
        <v>11</v>
      </c>
    </row>
    <row r="45" spans="1:18" x14ac:dyDescent="0.25">
      <c r="A45" s="21">
        <v>42176</v>
      </c>
      <c r="B45" s="20"/>
      <c r="C45" s="15" t="s">
        <v>55</v>
      </c>
      <c r="D45" s="16">
        <v>3</v>
      </c>
      <c r="E45" s="16">
        <v>6</v>
      </c>
      <c r="F45" s="19">
        <f t="shared" si="3"/>
        <v>0.5</v>
      </c>
      <c r="G45" s="16">
        <v>2</v>
      </c>
      <c r="H45" s="16">
        <v>5</v>
      </c>
      <c r="I45" s="19">
        <f t="shared" si="4"/>
        <v>0.4</v>
      </c>
      <c r="J45" s="16">
        <v>5</v>
      </c>
      <c r="K45" s="16">
        <v>5</v>
      </c>
      <c r="L45" s="19">
        <f t="shared" si="5"/>
        <v>1</v>
      </c>
      <c r="M45" s="16">
        <v>4</v>
      </c>
      <c r="N45" s="16">
        <v>2</v>
      </c>
      <c r="O45" s="16">
        <v>3</v>
      </c>
      <c r="P45" s="16">
        <v>1</v>
      </c>
      <c r="Q45" s="16">
        <v>1</v>
      </c>
      <c r="R45" s="16">
        <v>13</v>
      </c>
    </row>
    <row r="46" spans="1:18" x14ac:dyDescent="0.25">
      <c r="A46" s="21">
        <v>42176</v>
      </c>
      <c r="B46" s="20"/>
      <c r="C46" s="15" t="s">
        <v>89</v>
      </c>
      <c r="D46" s="16">
        <v>8</v>
      </c>
      <c r="E46" s="16">
        <v>22</v>
      </c>
      <c r="F46" s="19">
        <f t="shared" si="3"/>
        <v>0.36363636363636365</v>
      </c>
      <c r="G46" s="16">
        <v>0</v>
      </c>
      <c r="H46" s="16">
        <v>2</v>
      </c>
      <c r="I46" s="19">
        <f t="shared" si="4"/>
        <v>0</v>
      </c>
      <c r="J46" s="16">
        <v>1</v>
      </c>
      <c r="K46" s="16">
        <v>2</v>
      </c>
      <c r="L46" s="19">
        <f t="shared" si="5"/>
        <v>0.5</v>
      </c>
      <c r="M46" s="16">
        <v>10</v>
      </c>
      <c r="N46" s="16">
        <v>3</v>
      </c>
      <c r="O46" s="16">
        <v>2</v>
      </c>
      <c r="P46" s="16">
        <v>4</v>
      </c>
      <c r="Q46" s="16">
        <v>0</v>
      </c>
      <c r="R46" s="16">
        <v>17</v>
      </c>
    </row>
    <row r="47" spans="1:18" x14ac:dyDescent="0.25">
      <c r="A47" s="21">
        <v>42176</v>
      </c>
      <c r="B47" s="20"/>
      <c r="C47" s="15" t="s">
        <v>102</v>
      </c>
      <c r="D47" s="16">
        <v>2</v>
      </c>
      <c r="E47" s="16">
        <v>5</v>
      </c>
      <c r="F47" s="19">
        <f t="shared" si="3"/>
        <v>0.4</v>
      </c>
      <c r="G47" s="16">
        <v>0</v>
      </c>
      <c r="H47" s="16">
        <v>2</v>
      </c>
      <c r="I47" s="19">
        <f t="shared" si="4"/>
        <v>0</v>
      </c>
      <c r="J47" s="16">
        <v>3</v>
      </c>
      <c r="K47" s="16">
        <v>4</v>
      </c>
      <c r="L47" s="19">
        <f t="shared" si="5"/>
        <v>0.75</v>
      </c>
      <c r="M47" s="16">
        <v>0</v>
      </c>
      <c r="N47" s="16">
        <v>3</v>
      </c>
      <c r="O47" s="16">
        <v>0</v>
      </c>
      <c r="P47" s="16">
        <v>3</v>
      </c>
      <c r="Q47" s="16">
        <v>0</v>
      </c>
      <c r="R47" s="16">
        <v>7</v>
      </c>
    </row>
    <row r="48" spans="1:18" x14ac:dyDescent="0.25">
      <c r="A48" s="21">
        <v>42178</v>
      </c>
      <c r="B48" s="20"/>
      <c r="C48" s="15" t="s">
        <v>89</v>
      </c>
      <c r="D48" s="16">
        <v>9</v>
      </c>
      <c r="E48" s="16">
        <v>16</v>
      </c>
      <c r="F48" s="19">
        <f t="shared" si="3"/>
        <v>0.5625</v>
      </c>
      <c r="G48" s="16">
        <v>0</v>
      </c>
      <c r="H48" s="16">
        <v>0</v>
      </c>
      <c r="I48" s="19">
        <f t="shared" si="4"/>
        <v>0</v>
      </c>
      <c r="J48" s="16">
        <v>0</v>
      </c>
      <c r="K48" s="16">
        <v>0</v>
      </c>
      <c r="L48" s="19">
        <f t="shared" si="5"/>
        <v>0</v>
      </c>
      <c r="M48" s="16">
        <v>9</v>
      </c>
      <c r="N48" s="16">
        <v>3</v>
      </c>
      <c r="O48" s="16">
        <v>0</v>
      </c>
      <c r="P48" s="16">
        <v>2</v>
      </c>
      <c r="Q48" s="16">
        <v>3</v>
      </c>
      <c r="R48" s="16">
        <v>18</v>
      </c>
    </row>
    <row r="49" spans="1:18" x14ac:dyDescent="0.25">
      <c r="A49" s="21">
        <v>42179</v>
      </c>
      <c r="B49" s="20"/>
      <c r="C49" s="15" t="s">
        <v>53</v>
      </c>
      <c r="D49" s="16">
        <v>7</v>
      </c>
      <c r="E49" s="16">
        <v>16</v>
      </c>
      <c r="F49" s="19">
        <f t="shared" si="3"/>
        <v>0.4375</v>
      </c>
      <c r="G49" s="16">
        <v>0</v>
      </c>
      <c r="H49" s="16">
        <v>1</v>
      </c>
      <c r="I49" s="19">
        <f t="shared" si="4"/>
        <v>0</v>
      </c>
      <c r="J49" s="16">
        <v>1</v>
      </c>
      <c r="K49" s="16">
        <v>2</v>
      </c>
      <c r="L49" s="19">
        <f t="shared" si="5"/>
        <v>0.5</v>
      </c>
      <c r="M49" s="16">
        <v>10</v>
      </c>
      <c r="N49" s="16">
        <v>3</v>
      </c>
      <c r="O49" s="16">
        <v>4</v>
      </c>
      <c r="P49" s="16">
        <v>0</v>
      </c>
      <c r="Q49" s="16">
        <v>2</v>
      </c>
      <c r="R49" s="16">
        <v>15</v>
      </c>
    </row>
    <row r="50" spans="1:18" x14ac:dyDescent="0.25">
      <c r="A50" s="21">
        <v>42179</v>
      </c>
      <c r="B50" s="20"/>
      <c r="C50" s="15" t="s">
        <v>56</v>
      </c>
      <c r="D50" s="16">
        <v>4</v>
      </c>
      <c r="E50" s="16">
        <v>5</v>
      </c>
      <c r="F50" s="19">
        <f t="shared" si="3"/>
        <v>0.8</v>
      </c>
      <c r="G50" s="16">
        <v>3</v>
      </c>
      <c r="H50" s="16">
        <v>3</v>
      </c>
      <c r="I50" s="19">
        <f t="shared" si="4"/>
        <v>1</v>
      </c>
      <c r="J50" s="16">
        <v>2</v>
      </c>
      <c r="K50" s="16">
        <v>2</v>
      </c>
      <c r="L50" s="19">
        <f t="shared" si="5"/>
        <v>1</v>
      </c>
      <c r="M50" s="16">
        <v>6</v>
      </c>
      <c r="N50" s="16">
        <v>5</v>
      </c>
      <c r="O50" s="16">
        <v>1</v>
      </c>
      <c r="P50" s="16">
        <v>0</v>
      </c>
      <c r="Q50" s="16">
        <v>0</v>
      </c>
      <c r="R50" s="16">
        <v>13</v>
      </c>
    </row>
    <row r="51" spans="1:18" x14ac:dyDescent="0.25">
      <c r="A51" s="43">
        <v>42180</v>
      </c>
      <c r="B51" s="43"/>
      <c r="C51" s="22" t="s">
        <v>57</v>
      </c>
      <c r="D51" s="23">
        <v>7</v>
      </c>
      <c r="E51" s="23">
        <v>12</v>
      </c>
      <c r="F51" s="38">
        <f t="shared" si="3"/>
        <v>0.58333333333333337</v>
      </c>
      <c r="G51" s="23">
        <v>0</v>
      </c>
      <c r="H51" s="23">
        <v>0</v>
      </c>
      <c r="I51" s="38">
        <f t="shared" si="4"/>
        <v>0</v>
      </c>
      <c r="J51" s="23">
        <v>7</v>
      </c>
      <c r="K51" s="23">
        <v>8</v>
      </c>
      <c r="L51" s="38">
        <f t="shared" si="5"/>
        <v>0.875</v>
      </c>
      <c r="M51" s="23">
        <v>7</v>
      </c>
      <c r="N51" s="23">
        <v>1</v>
      </c>
      <c r="O51" s="23">
        <v>1</v>
      </c>
      <c r="P51" s="23">
        <v>2</v>
      </c>
      <c r="Q51" s="23">
        <v>0</v>
      </c>
      <c r="R51" s="25">
        <v>21</v>
      </c>
    </row>
    <row r="52" spans="1:18" x14ac:dyDescent="0.25">
      <c r="A52" s="43">
        <v>42180</v>
      </c>
      <c r="B52" s="43"/>
      <c r="C52" s="22" t="s">
        <v>102</v>
      </c>
      <c r="D52" s="23">
        <v>2</v>
      </c>
      <c r="E52" s="23">
        <v>9</v>
      </c>
      <c r="F52" s="38">
        <f t="shared" si="3"/>
        <v>0.22222222222222221</v>
      </c>
      <c r="G52" s="23">
        <v>1</v>
      </c>
      <c r="H52" s="23">
        <v>2</v>
      </c>
      <c r="I52" s="38">
        <f t="shared" si="4"/>
        <v>0.5</v>
      </c>
      <c r="J52" s="23">
        <v>0</v>
      </c>
      <c r="K52" s="23">
        <v>0</v>
      </c>
      <c r="L52" s="38">
        <f t="shared" si="5"/>
        <v>0</v>
      </c>
      <c r="M52" s="23">
        <v>1</v>
      </c>
      <c r="N52" s="23">
        <v>5</v>
      </c>
      <c r="O52" s="23">
        <v>2</v>
      </c>
      <c r="P52" s="23">
        <v>3</v>
      </c>
      <c r="Q52" s="23">
        <v>0</v>
      </c>
      <c r="R52" s="25">
        <v>5</v>
      </c>
    </row>
    <row r="53" spans="1:18" x14ac:dyDescent="0.25">
      <c r="A53" s="43">
        <v>42181</v>
      </c>
      <c r="B53" s="43"/>
      <c r="C53" s="22" t="s">
        <v>53</v>
      </c>
      <c r="D53" s="23">
        <v>6</v>
      </c>
      <c r="E53" s="23">
        <v>13</v>
      </c>
      <c r="F53" s="38">
        <f t="shared" si="3"/>
        <v>0.46153846153846156</v>
      </c>
      <c r="G53" s="23">
        <v>0</v>
      </c>
      <c r="H53" s="23">
        <v>0</v>
      </c>
      <c r="I53" s="38">
        <f t="shared" si="4"/>
        <v>0</v>
      </c>
      <c r="J53" s="23">
        <v>0</v>
      </c>
      <c r="K53" s="23">
        <v>0</v>
      </c>
      <c r="L53" s="38">
        <f t="shared" si="5"/>
        <v>0</v>
      </c>
      <c r="M53" s="23">
        <v>10</v>
      </c>
      <c r="N53" s="23">
        <v>2</v>
      </c>
      <c r="O53" s="23">
        <v>5</v>
      </c>
      <c r="P53" s="23">
        <v>3</v>
      </c>
      <c r="Q53" s="23">
        <v>1</v>
      </c>
      <c r="R53" s="25">
        <v>12</v>
      </c>
    </row>
    <row r="54" spans="1:18" x14ac:dyDescent="0.25">
      <c r="A54" s="43">
        <v>42181</v>
      </c>
      <c r="B54" s="43"/>
      <c r="C54" s="22" t="s">
        <v>55</v>
      </c>
      <c r="D54" s="23">
        <v>5</v>
      </c>
      <c r="E54" s="23">
        <v>9</v>
      </c>
      <c r="F54" s="38">
        <f t="shared" si="3"/>
        <v>0.55555555555555558</v>
      </c>
      <c r="G54" s="23">
        <v>1</v>
      </c>
      <c r="H54" s="23">
        <v>2</v>
      </c>
      <c r="I54" s="38">
        <f t="shared" si="4"/>
        <v>0.5</v>
      </c>
      <c r="J54" s="23">
        <v>3</v>
      </c>
      <c r="K54" s="23">
        <v>4</v>
      </c>
      <c r="L54" s="38">
        <f t="shared" si="5"/>
        <v>0.75</v>
      </c>
      <c r="M54" s="23">
        <v>6</v>
      </c>
      <c r="N54" s="23">
        <v>3</v>
      </c>
      <c r="O54" s="23">
        <v>3</v>
      </c>
      <c r="P54" s="23">
        <v>2</v>
      </c>
      <c r="Q54" s="23">
        <v>0</v>
      </c>
      <c r="R54" s="25">
        <v>14</v>
      </c>
    </row>
    <row r="55" spans="1:18" x14ac:dyDescent="0.25">
      <c r="A55" s="43">
        <v>42181</v>
      </c>
      <c r="B55" s="43"/>
      <c r="C55" s="22" t="s">
        <v>56</v>
      </c>
      <c r="D55" s="23">
        <v>5</v>
      </c>
      <c r="E55" s="23">
        <v>14</v>
      </c>
      <c r="F55" s="38">
        <f t="shared" si="3"/>
        <v>0.35714285714285715</v>
      </c>
      <c r="G55" s="23">
        <v>2</v>
      </c>
      <c r="H55" s="23">
        <v>6</v>
      </c>
      <c r="I55" s="38">
        <f t="shared" si="4"/>
        <v>0.33333333333333331</v>
      </c>
      <c r="J55" s="23">
        <v>1</v>
      </c>
      <c r="K55" s="23">
        <v>1</v>
      </c>
      <c r="L55" s="38">
        <f t="shared" si="5"/>
        <v>1</v>
      </c>
      <c r="M55" s="23">
        <v>6</v>
      </c>
      <c r="N55" s="23">
        <v>7</v>
      </c>
      <c r="O55" s="23">
        <v>0</v>
      </c>
      <c r="P55" s="23">
        <v>2</v>
      </c>
      <c r="Q55" s="23">
        <v>0</v>
      </c>
      <c r="R55" s="25">
        <v>13</v>
      </c>
    </row>
    <row r="56" spans="1:18" x14ac:dyDescent="0.25">
      <c r="A56" s="43">
        <v>42181</v>
      </c>
      <c r="B56" s="43"/>
      <c r="C56" s="22" t="s">
        <v>89</v>
      </c>
      <c r="D56" s="23">
        <v>9</v>
      </c>
      <c r="E56" s="23">
        <v>16</v>
      </c>
      <c r="F56" s="38">
        <f t="shared" si="3"/>
        <v>0.5625</v>
      </c>
      <c r="G56" s="23">
        <v>0</v>
      </c>
      <c r="H56" s="23">
        <v>0</v>
      </c>
      <c r="I56" s="38">
        <f t="shared" si="4"/>
        <v>0</v>
      </c>
      <c r="J56" s="23">
        <v>4</v>
      </c>
      <c r="K56" s="23">
        <v>4</v>
      </c>
      <c r="L56" s="38">
        <f t="shared" si="5"/>
        <v>1</v>
      </c>
      <c r="M56" s="23">
        <v>12</v>
      </c>
      <c r="N56" s="23">
        <v>1</v>
      </c>
      <c r="O56" s="23">
        <v>2</v>
      </c>
      <c r="P56" s="23">
        <v>3</v>
      </c>
      <c r="Q56" s="23">
        <v>0</v>
      </c>
      <c r="R56" s="25">
        <v>22</v>
      </c>
    </row>
    <row r="57" spans="1:18" x14ac:dyDescent="0.25">
      <c r="A57" s="43">
        <v>42181</v>
      </c>
      <c r="B57" s="43"/>
      <c r="C57" s="22" t="s">
        <v>90</v>
      </c>
      <c r="D57" s="23">
        <v>2</v>
      </c>
      <c r="E57" s="23">
        <v>6</v>
      </c>
      <c r="F57" s="38">
        <f t="shared" si="3"/>
        <v>0.33333333333333331</v>
      </c>
      <c r="G57" s="23">
        <v>0</v>
      </c>
      <c r="H57" s="23">
        <v>0</v>
      </c>
      <c r="I57" s="38">
        <f t="shared" si="4"/>
        <v>0</v>
      </c>
      <c r="J57" s="23">
        <v>3</v>
      </c>
      <c r="K57" s="23">
        <v>3</v>
      </c>
      <c r="L57" s="38">
        <f t="shared" si="5"/>
        <v>1</v>
      </c>
      <c r="M57" s="23">
        <v>4</v>
      </c>
      <c r="N57" s="23">
        <v>5</v>
      </c>
      <c r="O57" s="23">
        <v>0</v>
      </c>
      <c r="P57" s="23">
        <v>7</v>
      </c>
      <c r="Q57" s="23">
        <v>0</v>
      </c>
      <c r="R57" s="25">
        <v>7</v>
      </c>
    </row>
    <row r="58" spans="1:18" x14ac:dyDescent="0.25">
      <c r="A58" s="43">
        <v>42181</v>
      </c>
      <c r="B58" s="43"/>
      <c r="C58" s="22" t="s">
        <v>52</v>
      </c>
      <c r="D58" s="23">
        <v>2</v>
      </c>
      <c r="E58" s="23">
        <v>9</v>
      </c>
      <c r="F58" s="38">
        <f t="shared" si="3"/>
        <v>0.22222222222222221</v>
      </c>
      <c r="G58" s="23">
        <v>0</v>
      </c>
      <c r="H58" s="23">
        <v>2</v>
      </c>
      <c r="I58" s="38">
        <f t="shared" si="4"/>
        <v>0</v>
      </c>
      <c r="J58" s="23">
        <v>5</v>
      </c>
      <c r="K58" s="23">
        <v>5</v>
      </c>
      <c r="L58" s="38">
        <f t="shared" si="5"/>
        <v>1</v>
      </c>
      <c r="M58" s="23">
        <v>2</v>
      </c>
      <c r="N58" s="23">
        <v>4</v>
      </c>
      <c r="O58" s="23">
        <v>2</v>
      </c>
      <c r="P58" s="23">
        <v>2</v>
      </c>
      <c r="Q58" s="23">
        <v>0</v>
      </c>
      <c r="R58" s="25">
        <v>9</v>
      </c>
    </row>
    <row r="59" spans="1:18" x14ac:dyDescent="0.25">
      <c r="A59" s="43">
        <v>42182</v>
      </c>
      <c r="B59" s="43"/>
      <c r="C59" s="22" t="s">
        <v>102</v>
      </c>
      <c r="D59" s="23">
        <v>2</v>
      </c>
      <c r="E59" s="23">
        <v>4</v>
      </c>
      <c r="F59" s="38">
        <f t="shared" si="3"/>
        <v>0.5</v>
      </c>
      <c r="G59" s="23">
        <v>2</v>
      </c>
      <c r="H59" s="23">
        <v>3</v>
      </c>
      <c r="I59" s="38">
        <f t="shared" si="4"/>
        <v>0.66666666666666663</v>
      </c>
      <c r="J59" s="23">
        <v>0</v>
      </c>
      <c r="K59" s="23">
        <v>0</v>
      </c>
      <c r="L59" s="38">
        <f t="shared" si="5"/>
        <v>0</v>
      </c>
      <c r="M59" s="23">
        <v>0</v>
      </c>
      <c r="N59" s="23">
        <v>2</v>
      </c>
      <c r="O59" s="23">
        <v>1</v>
      </c>
      <c r="P59" s="23">
        <v>2</v>
      </c>
      <c r="Q59" s="23">
        <v>0</v>
      </c>
      <c r="R59" s="25">
        <v>6</v>
      </c>
    </row>
    <row r="60" spans="1:18" x14ac:dyDescent="0.25">
      <c r="A60" s="43">
        <v>42182</v>
      </c>
      <c r="B60" s="43"/>
      <c r="C60" s="22" t="s">
        <v>57</v>
      </c>
      <c r="D60" s="23">
        <v>3</v>
      </c>
      <c r="E60" s="23">
        <v>6</v>
      </c>
      <c r="F60" s="38">
        <f t="shared" si="3"/>
        <v>0.5</v>
      </c>
      <c r="G60" s="23">
        <v>0</v>
      </c>
      <c r="H60" s="23">
        <v>0</v>
      </c>
      <c r="I60" s="38">
        <f t="shared" si="4"/>
        <v>0</v>
      </c>
      <c r="J60" s="23">
        <v>0</v>
      </c>
      <c r="K60" s="23">
        <v>2</v>
      </c>
      <c r="L60" s="38">
        <f t="shared" si="5"/>
        <v>0</v>
      </c>
      <c r="M60" s="23">
        <v>5</v>
      </c>
      <c r="N60" s="23">
        <v>0</v>
      </c>
      <c r="O60" s="23">
        <v>2</v>
      </c>
      <c r="P60" s="23">
        <v>2</v>
      </c>
      <c r="Q60" s="23">
        <v>2</v>
      </c>
      <c r="R60" s="25">
        <v>6</v>
      </c>
    </row>
    <row r="61" spans="1:18" x14ac:dyDescent="0.25">
      <c r="A61" s="43">
        <v>42183</v>
      </c>
      <c r="B61" s="43"/>
      <c r="C61" s="22" t="s">
        <v>89</v>
      </c>
      <c r="D61" s="23">
        <v>7</v>
      </c>
      <c r="E61" s="23">
        <v>12</v>
      </c>
      <c r="F61" s="38">
        <f t="shared" si="3"/>
        <v>0.58333333333333337</v>
      </c>
      <c r="G61" s="23">
        <v>0</v>
      </c>
      <c r="H61" s="23">
        <v>0</v>
      </c>
      <c r="I61" s="38">
        <f t="shared" si="4"/>
        <v>0</v>
      </c>
      <c r="J61" s="23">
        <v>0</v>
      </c>
      <c r="K61" s="23">
        <v>0</v>
      </c>
      <c r="L61" s="38">
        <f t="shared" si="5"/>
        <v>0</v>
      </c>
      <c r="M61" s="23">
        <v>6</v>
      </c>
      <c r="N61" s="23">
        <v>1</v>
      </c>
      <c r="O61" s="23">
        <v>0</v>
      </c>
      <c r="P61" s="23">
        <v>3</v>
      </c>
      <c r="Q61" s="23">
        <v>0</v>
      </c>
      <c r="R61" s="25">
        <v>14</v>
      </c>
    </row>
    <row r="62" spans="1:18" x14ac:dyDescent="0.25">
      <c r="A62" s="43">
        <v>42183</v>
      </c>
      <c r="B62" s="43"/>
      <c r="C62" s="22" t="s">
        <v>56</v>
      </c>
      <c r="D62" s="23">
        <v>2</v>
      </c>
      <c r="E62" s="23">
        <v>5</v>
      </c>
      <c r="F62" s="38">
        <f t="shared" si="3"/>
        <v>0.4</v>
      </c>
      <c r="G62" s="23">
        <v>0</v>
      </c>
      <c r="H62" s="23">
        <v>1</v>
      </c>
      <c r="I62" s="38">
        <f t="shared" si="4"/>
        <v>0</v>
      </c>
      <c r="J62" s="23">
        <v>0</v>
      </c>
      <c r="K62" s="23">
        <v>0</v>
      </c>
      <c r="L62" s="38">
        <f t="shared" si="5"/>
        <v>0</v>
      </c>
      <c r="M62" s="23">
        <v>3</v>
      </c>
      <c r="N62" s="23">
        <v>4</v>
      </c>
      <c r="O62" s="23">
        <v>1</v>
      </c>
      <c r="P62" s="23">
        <v>3</v>
      </c>
      <c r="Q62" s="23">
        <v>0</v>
      </c>
      <c r="R62" s="25">
        <v>4</v>
      </c>
    </row>
    <row r="63" spans="1:18" x14ac:dyDescent="0.25">
      <c r="A63" s="43">
        <v>42183</v>
      </c>
      <c r="B63" s="43"/>
      <c r="C63" s="22" t="s">
        <v>90</v>
      </c>
      <c r="D63" s="23">
        <v>4</v>
      </c>
      <c r="E63" s="23">
        <v>6</v>
      </c>
      <c r="F63" s="38">
        <f t="shared" si="3"/>
        <v>0.66666666666666663</v>
      </c>
      <c r="G63" s="23">
        <v>1</v>
      </c>
      <c r="H63" s="23">
        <v>2</v>
      </c>
      <c r="I63" s="38">
        <f t="shared" si="4"/>
        <v>0.5</v>
      </c>
      <c r="J63" s="23">
        <v>3</v>
      </c>
      <c r="K63" s="23">
        <v>4</v>
      </c>
      <c r="L63" s="38">
        <f t="shared" si="5"/>
        <v>0.75</v>
      </c>
      <c r="M63" s="23">
        <v>7</v>
      </c>
      <c r="N63" s="23">
        <v>7</v>
      </c>
      <c r="O63" s="23">
        <v>0</v>
      </c>
      <c r="P63" s="23">
        <v>3</v>
      </c>
      <c r="Q63" s="23">
        <v>0</v>
      </c>
      <c r="R63" s="25">
        <v>12</v>
      </c>
    </row>
    <row r="64" spans="1:18" x14ac:dyDescent="0.25">
      <c r="A64" s="43">
        <v>42183</v>
      </c>
      <c r="B64" s="43"/>
      <c r="C64" s="22" t="s">
        <v>52</v>
      </c>
      <c r="D64" s="23">
        <v>10</v>
      </c>
      <c r="E64" s="23">
        <v>20</v>
      </c>
      <c r="F64" s="38">
        <f t="shared" si="3"/>
        <v>0.5</v>
      </c>
      <c r="G64" s="23">
        <v>3</v>
      </c>
      <c r="H64" s="23">
        <v>8</v>
      </c>
      <c r="I64" s="38">
        <f t="shared" si="4"/>
        <v>0.375</v>
      </c>
      <c r="J64" s="23">
        <v>8</v>
      </c>
      <c r="K64" s="23">
        <v>8</v>
      </c>
      <c r="L64" s="38">
        <f t="shared" si="5"/>
        <v>1</v>
      </c>
      <c r="M64" s="23">
        <v>1</v>
      </c>
      <c r="N64" s="23">
        <v>6</v>
      </c>
      <c r="O64" s="23">
        <v>1</v>
      </c>
      <c r="P64" s="23">
        <v>5</v>
      </c>
      <c r="Q64" s="23">
        <v>1</v>
      </c>
      <c r="R64" s="25">
        <v>31</v>
      </c>
    </row>
    <row r="65" spans="1:18" x14ac:dyDescent="0.25">
      <c r="A65" s="43">
        <v>42185</v>
      </c>
      <c r="B65" s="43"/>
      <c r="C65" s="22" t="s">
        <v>90</v>
      </c>
      <c r="D65" s="23">
        <v>4</v>
      </c>
      <c r="E65" s="23">
        <v>8</v>
      </c>
      <c r="F65" s="38">
        <f t="shared" si="3"/>
        <v>0.5</v>
      </c>
      <c r="G65" s="23">
        <v>1</v>
      </c>
      <c r="H65" s="23">
        <v>2</v>
      </c>
      <c r="I65" s="38">
        <f t="shared" si="4"/>
        <v>0.5</v>
      </c>
      <c r="J65" s="23">
        <v>1</v>
      </c>
      <c r="K65" s="23">
        <v>1</v>
      </c>
      <c r="L65" s="38">
        <f t="shared" si="5"/>
        <v>1</v>
      </c>
      <c r="M65" s="23">
        <v>1</v>
      </c>
      <c r="N65" s="23">
        <v>4</v>
      </c>
      <c r="O65" s="23">
        <v>2</v>
      </c>
      <c r="P65" s="23">
        <v>3</v>
      </c>
      <c r="Q65" s="23">
        <v>0</v>
      </c>
      <c r="R65" s="25">
        <v>10</v>
      </c>
    </row>
    <row r="66" spans="1:18" x14ac:dyDescent="0.25">
      <c r="A66" s="43">
        <v>42185</v>
      </c>
      <c r="B66" s="43"/>
      <c r="C66" s="22" t="s">
        <v>57</v>
      </c>
      <c r="D66" s="23">
        <v>8</v>
      </c>
      <c r="E66" s="23">
        <v>15</v>
      </c>
      <c r="F66" s="38">
        <f t="shared" ref="F66:F97" si="6">IF(E66=0,0,D66/E66)</f>
        <v>0.53333333333333333</v>
      </c>
      <c r="G66" s="23">
        <v>0</v>
      </c>
      <c r="H66" s="23">
        <v>0</v>
      </c>
      <c r="I66" s="38">
        <f t="shared" ref="I66:I97" si="7">IF(H66=0,0,G66/H66)</f>
        <v>0</v>
      </c>
      <c r="J66" s="23">
        <v>2</v>
      </c>
      <c r="K66" s="23">
        <v>2</v>
      </c>
      <c r="L66" s="38">
        <f t="shared" ref="L66:L97" si="8">IF(K66=0,0,J66/K66)</f>
        <v>1</v>
      </c>
      <c r="M66" s="23">
        <v>3</v>
      </c>
      <c r="N66" s="23">
        <v>2</v>
      </c>
      <c r="O66" s="23">
        <v>0</v>
      </c>
      <c r="P66" s="23">
        <v>2</v>
      </c>
      <c r="Q66" s="23">
        <v>0</v>
      </c>
      <c r="R66" s="25">
        <v>18</v>
      </c>
    </row>
    <row r="67" spans="1:18" x14ac:dyDescent="0.25">
      <c r="A67" s="43">
        <v>42185</v>
      </c>
      <c r="B67" s="43"/>
      <c r="C67" s="22" t="s">
        <v>55</v>
      </c>
      <c r="D67" s="23">
        <v>3</v>
      </c>
      <c r="E67" s="23">
        <v>5</v>
      </c>
      <c r="F67" s="38">
        <f t="shared" si="6"/>
        <v>0.6</v>
      </c>
      <c r="G67" s="23">
        <v>2</v>
      </c>
      <c r="H67" s="23">
        <v>3</v>
      </c>
      <c r="I67" s="38">
        <f t="shared" si="7"/>
        <v>0.66666666666666663</v>
      </c>
      <c r="J67" s="23">
        <v>4</v>
      </c>
      <c r="K67" s="23">
        <v>4</v>
      </c>
      <c r="L67" s="38">
        <f t="shared" si="8"/>
        <v>1</v>
      </c>
      <c r="M67" s="23">
        <v>5</v>
      </c>
      <c r="N67" s="23">
        <v>1</v>
      </c>
      <c r="O67" s="23">
        <v>3</v>
      </c>
      <c r="P67" s="23">
        <v>2</v>
      </c>
      <c r="Q67" s="23">
        <v>0</v>
      </c>
      <c r="R67" s="25">
        <v>12</v>
      </c>
    </row>
    <row r="68" spans="1:18" x14ac:dyDescent="0.25">
      <c r="A68" s="43">
        <v>42185</v>
      </c>
      <c r="B68" s="43"/>
      <c r="C68" s="22" t="s">
        <v>56</v>
      </c>
      <c r="D68" s="23">
        <v>5</v>
      </c>
      <c r="E68" s="23">
        <v>10</v>
      </c>
      <c r="F68" s="38">
        <f t="shared" si="6"/>
        <v>0.5</v>
      </c>
      <c r="G68" s="23">
        <v>1</v>
      </c>
      <c r="H68" s="23">
        <v>2</v>
      </c>
      <c r="I68" s="38">
        <f t="shared" si="7"/>
        <v>0.5</v>
      </c>
      <c r="J68" s="23">
        <v>3</v>
      </c>
      <c r="K68" s="23">
        <v>4</v>
      </c>
      <c r="L68" s="38">
        <f t="shared" si="8"/>
        <v>0.75</v>
      </c>
      <c r="M68" s="23">
        <v>3</v>
      </c>
      <c r="N68" s="23">
        <v>10</v>
      </c>
      <c r="O68" s="23">
        <v>2</v>
      </c>
      <c r="P68" s="23">
        <v>2</v>
      </c>
      <c r="Q68" s="23">
        <v>0</v>
      </c>
      <c r="R68" s="25">
        <v>14</v>
      </c>
    </row>
    <row r="69" spans="1:18" x14ac:dyDescent="0.25">
      <c r="A69" s="43">
        <v>42187</v>
      </c>
      <c r="B69" s="43"/>
      <c r="C69" s="22" t="s">
        <v>89</v>
      </c>
      <c r="D69" s="23">
        <v>8</v>
      </c>
      <c r="E69" s="23">
        <v>12</v>
      </c>
      <c r="F69" s="38">
        <f t="shared" si="6"/>
        <v>0.66666666666666663</v>
      </c>
      <c r="G69" s="23">
        <v>0</v>
      </c>
      <c r="H69" s="23">
        <v>0</v>
      </c>
      <c r="I69" s="38">
        <f t="shared" si="7"/>
        <v>0</v>
      </c>
      <c r="J69" s="23">
        <v>5</v>
      </c>
      <c r="K69" s="23">
        <v>5</v>
      </c>
      <c r="L69" s="38">
        <f t="shared" si="8"/>
        <v>1</v>
      </c>
      <c r="M69" s="23">
        <v>10</v>
      </c>
      <c r="N69" s="23">
        <v>3</v>
      </c>
      <c r="O69" s="23">
        <v>1</v>
      </c>
      <c r="P69" s="23">
        <v>4</v>
      </c>
      <c r="Q69" s="23">
        <v>0</v>
      </c>
      <c r="R69" s="25">
        <v>21</v>
      </c>
    </row>
    <row r="70" spans="1:18" x14ac:dyDescent="0.25">
      <c r="A70" s="43">
        <v>42187</v>
      </c>
      <c r="B70" s="43"/>
      <c r="C70" s="22" t="s">
        <v>57</v>
      </c>
      <c r="D70" s="23">
        <v>7</v>
      </c>
      <c r="E70" s="23">
        <v>11</v>
      </c>
      <c r="F70" s="38">
        <f t="shared" si="6"/>
        <v>0.63636363636363635</v>
      </c>
      <c r="G70" s="23">
        <v>0</v>
      </c>
      <c r="H70" s="23">
        <v>0</v>
      </c>
      <c r="I70" s="38">
        <f t="shared" si="7"/>
        <v>0</v>
      </c>
      <c r="J70" s="23">
        <v>4</v>
      </c>
      <c r="K70" s="23">
        <v>4</v>
      </c>
      <c r="L70" s="38">
        <f t="shared" si="8"/>
        <v>1</v>
      </c>
      <c r="M70" s="23">
        <v>5</v>
      </c>
      <c r="N70" s="23">
        <v>1</v>
      </c>
      <c r="O70" s="23">
        <v>1</v>
      </c>
      <c r="P70" s="23">
        <v>1</v>
      </c>
      <c r="Q70" s="23">
        <v>0</v>
      </c>
      <c r="R70" s="25">
        <v>18</v>
      </c>
    </row>
    <row r="71" spans="1:18" x14ac:dyDescent="0.25">
      <c r="A71" s="43">
        <v>42187</v>
      </c>
      <c r="B71" s="43"/>
      <c r="C71" s="22" t="s">
        <v>72</v>
      </c>
      <c r="D71" s="23">
        <v>3</v>
      </c>
      <c r="E71" s="23">
        <v>6</v>
      </c>
      <c r="F71" s="38">
        <f t="shared" si="6"/>
        <v>0.5</v>
      </c>
      <c r="G71" s="23">
        <v>1</v>
      </c>
      <c r="H71" s="23">
        <v>4</v>
      </c>
      <c r="I71" s="38">
        <f t="shared" si="7"/>
        <v>0.25</v>
      </c>
      <c r="J71" s="23">
        <v>1</v>
      </c>
      <c r="K71" s="23">
        <v>1</v>
      </c>
      <c r="L71" s="38">
        <f t="shared" si="8"/>
        <v>1</v>
      </c>
      <c r="M71" s="23">
        <v>3</v>
      </c>
      <c r="N71" s="23">
        <v>1</v>
      </c>
      <c r="O71" s="23">
        <v>0</v>
      </c>
      <c r="P71" s="23">
        <v>0</v>
      </c>
      <c r="Q71" s="23">
        <v>0</v>
      </c>
      <c r="R71" s="25">
        <v>8</v>
      </c>
    </row>
    <row r="72" spans="1:18" x14ac:dyDescent="0.25">
      <c r="A72" s="26">
        <v>42187</v>
      </c>
      <c r="B72" s="26"/>
      <c r="C72" s="52" t="s">
        <v>133</v>
      </c>
      <c r="D72" s="53">
        <v>5</v>
      </c>
      <c r="E72" s="53">
        <v>12</v>
      </c>
      <c r="F72" s="24">
        <f t="shared" si="6"/>
        <v>0.41666666666666669</v>
      </c>
      <c r="G72" s="53">
        <v>2</v>
      </c>
      <c r="H72" s="53">
        <v>4</v>
      </c>
      <c r="I72" s="24">
        <f t="shared" si="7"/>
        <v>0.5</v>
      </c>
      <c r="J72" s="53">
        <v>4</v>
      </c>
      <c r="K72" s="53">
        <v>4</v>
      </c>
      <c r="L72" s="24">
        <f t="shared" si="8"/>
        <v>1</v>
      </c>
      <c r="M72" s="53">
        <v>1</v>
      </c>
      <c r="N72" s="53">
        <v>2</v>
      </c>
      <c r="O72" s="53">
        <v>3</v>
      </c>
      <c r="P72" s="53">
        <v>3</v>
      </c>
      <c r="Q72" s="53">
        <v>0</v>
      </c>
      <c r="R72" s="54">
        <v>16</v>
      </c>
    </row>
    <row r="73" spans="1:18" x14ac:dyDescent="0.25">
      <c r="A73" s="26">
        <v>42187</v>
      </c>
      <c r="B73" s="26"/>
      <c r="C73" s="52" t="s">
        <v>132</v>
      </c>
      <c r="D73" s="53">
        <v>5</v>
      </c>
      <c r="E73" s="53">
        <v>11</v>
      </c>
      <c r="F73" s="24">
        <f t="shared" si="6"/>
        <v>0.45454545454545453</v>
      </c>
      <c r="G73" s="53">
        <v>2</v>
      </c>
      <c r="H73" s="53">
        <v>5</v>
      </c>
      <c r="I73" s="24">
        <f t="shared" si="7"/>
        <v>0.4</v>
      </c>
      <c r="J73" s="53">
        <v>0</v>
      </c>
      <c r="K73" s="53">
        <v>0</v>
      </c>
      <c r="L73" s="24">
        <f t="shared" si="8"/>
        <v>0</v>
      </c>
      <c r="M73" s="53">
        <v>4</v>
      </c>
      <c r="N73" s="53">
        <v>3</v>
      </c>
      <c r="O73" s="53">
        <v>2</v>
      </c>
      <c r="P73" s="53">
        <v>2</v>
      </c>
      <c r="Q73" s="53">
        <v>1</v>
      </c>
      <c r="R73" s="54">
        <v>12</v>
      </c>
    </row>
    <row r="74" spans="1:18" x14ac:dyDescent="0.25">
      <c r="A74" s="43">
        <v>42188</v>
      </c>
      <c r="B74" s="43"/>
      <c r="C74" s="22" t="s">
        <v>89</v>
      </c>
      <c r="D74" s="23">
        <v>3</v>
      </c>
      <c r="E74" s="23">
        <v>7</v>
      </c>
      <c r="F74" s="38">
        <f t="shared" si="6"/>
        <v>0.42857142857142855</v>
      </c>
      <c r="G74" s="23">
        <v>0</v>
      </c>
      <c r="H74" s="23">
        <v>0</v>
      </c>
      <c r="I74" s="38">
        <f t="shared" si="7"/>
        <v>0</v>
      </c>
      <c r="J74" s="23">
        <v>4</v>
      </c>
      <c r="K74" s="23">
        <v>6</v>
      </c>
      <c r="L74" s="38">
        <f t="shared" si="8"/>
        <v>0.66666666666666663</v>
      </c>
      <c r="M74" s="23">
        <v>5</v>
      </c>
      <c r="N74" s="23">
        <v>2</v>
      </c>
      <c r="O74" s="23">
        <v>0</v>
      </c>
      <c r="P74" s="23">
        <v>3</v>
      </c>
      <c r="Q74" s="23">
        <v>1</v>
      </c>
      <c r="R74" s="25">
        <v>10</v>
      </c>
    </row>
    <row r="75" spans="1:18" x14ac:dyDescent="0.25">
      <c r="A75" s="43">
        <v>42188</v>
      </c>
      <c r="B75" s="43"/>
      <c r="C75" s="22" t="s">
        <v>102</v>
      </c>
      <c r="D75" s="23">
        <v>0</v>
      </c>
      <c r="E75" s="23">
        <v>5</v>
      </c>
      <c r="F75" s="38">
        <f t="shared" si="6"/>
        <v>0</v>
      </c>
      <c r="G75" s="23">
        <v>0</v>
      </c>
      <c r="H75" s="23">
        <v>3</v>
      </c>
      <c r="I75" s="38">
        <f t="shared" si="7"/>
        <v>0</v>
      </c>
      <c r="J75" s="23">
        <v>2</v>
      </c>
      <c r="K75" s="23">
        <v>2</v>
      </c>
      <c r="L75" s="38">
        <f t="shared" si="8"/>
        <v>1</v>
      </c>
      <c r="M75" s="23">
        <v>1</v>
      </c>
      <c r="N75" s="23">
        <v>2</v>
      </c>
      <c r="O75" s="23">
        <v>3</v>
      </c>
      <c r="P75" s="23">
        <v>2</v>
      </c>
      <c r="Q75" s="23">
        <v>0</v>
      </c>
      <c r="R75" s="25">
        <v>2</v>
      </c>
    </row>
    <row r="76" spans="1:18" x14ac:dyDescent="0.25">
      <c r="A76" s="43">
        <v>42190</v>
      </c>
      <c r="B76" s="43"/>
      <c r="C76" s="22" t="s">
        <v>89</v>
      </c>
      <c r="D76" s="23">
        <v>5</v>
      </c>
      <c r="E76" s="23">
        <v>13</v>
      </c>
      <c r="F76" s="38">
        <f t="shared" si="6"/>
        <v>0.38461538461538464</v>
      </c>
      <c r="G76" s="23">
        <v>0</v>
      </c>
      <c r="H76" s="23">
        <v>0</v>
      </c>
      <c r="I76" s="38">
        <f t="shared" si="7"/>
        <v>0</v>
      </c>
      <c r="J76" s="23">
        <v>0</v>
      </c>
      <c r="K76" s="23">
        <v>1</v>
      </c>
      <c r="L76" s="38">
        <f t="shared" si="8"/>
        <v>0</v>
      </c>
      <c r="M76" s="23">
        <v>4</v>
      </c>
      <c r="N76" s="23">
        <v>1</v>
      </c>
      <c r="O76" s="23">
        <v>0</v>
      </c>
      <c r="P76" s="23">
        <v>0</v>
      </c>
      <c r="Q76" s="23">
        <v>1</v>
      </c>
      <c r="R76" s="25">
        <v>10</v>
      </c>
    </row>
    <row r="77" spans="1:18" x14ac:dyDescent="0.25">
      <c r="A77" s="43">
        <v>42190</v>
      </c>
      <c r="B77" s="43"/>
      <c r="C77" s="22" t="s">
        <v>102</v>
      </c>
      <c r="D77" s="23">
        <v>0</v>
      </c>
      <c r="E77" s="23">
        <v>2</v>
      </c>
      <c r="F77" s="38">
        <f t="shared" si="6"/>
        <v>0</v>
      </c>
      <c r="G77" s="23">
        <v>0</v>
      </c>
      <c r="H77" s="23">
        <v>2</v>
      </c>
      <c r="I77" s="38">
        <f t="shared" si="7"/>
        <v>0</v>
      </c>
      <c r="J77" s="23">
        <v>2</v>
      </c>
      <c r="K77" s="23">
        <v>2</v>
      </c>
      <c r="L77" s="38">
        <f t="shared" si="8"/>
        <v>1</v>
      </c>
      <c r="M77" s="23">
        <v>0</v>
      </c>
      <c r="N77" s="23">
        <v>2</v>
      </c>
      <c r="O77" s="23">
        <v>2</v>
      </c>
      <c r="P77" s="23">
        <v>2</v>
      </c>
      <c r="Q77" s="23">
        <v>0</v>
      </c>
      <c r="R77" s="25">
        <v>2</v>
      </c>
    </row>
    <row r="78" spans="1:18" x14ac:dyDescent="0.25">
      <c r="A78" s="43">
        <v>42190</v>
      </c>
      <c r="B78" s="43"/>
      <c r="C78" s="22" t="s">
        <v>53</v>
      </c>
      <c r="D78" s="23">
        <v>3</v>
      </c>
      <c r="E78" s="23">
        <v>9</v>
      </c>
      <c r="F78" s="38">
        <f t="shared" si="6"/>
        <v>0.33333333333333331</v>
      </c>
      <c r="G78" s="23">
        <v>0</v>
      </c>
      <c r="H78" s="23">
        <v>0</v>
      </c>
      <c r="I78" s="38">
        <f t="shared" si="7"/>
        <v>0</v>
      </c>
      <c r="J78" s="23">
        <v>2</v>
      </c>
      <c r="K78" s="23">
        <v>3</v>
      </c>
      <c r="L78" s="38">
        <f t="shared" si="8"/>
        <v>0.66666666666666663</v>
      </c>
      <c r="M78" s="23">
        <v>15</v>
      </c>
      <c r="N78" s="23">
        <v>2</v>
      </c>
      <c r="O78" s="23">
        <v>3</v>
      </c>
      <c r="P78" s="23">
        <v>0</v>
      </c>
      <c r="Q78" s="23">
        <v>1</v>
      </c>
      <c r="R78" s="25">
        <v>8</v>
      </c>
    </row>
    <row r="79" spans="1:18" x14ac:dyDescent="0.25">
      <c r="A79" s="43">
        <v>42192</v>
      </c>
      <c r="B79" s="43"/>
      <c r="C79" s="22" t="s">
        <v>53</v>
      </c>
      <c r="D79" s="23">
        <v>7</v>
      </c>
      <c r="E79" s="23">
        <v>15</v>
      </c>
      <c r="F79" s="38">
        <f t="shared" si="6"/>
        <v>0.46666666666666667</v>
      </c>
      <c r="G79" s="23">
        <v>0</v>
      </c>
      <c r="H79" s="23">
        <v>0</v>
      </c>
      <c r="I79" s="38">
        <f t="shared" si="7"/>
        <v>0</v>
      </c>
      <c r="J79" s="23">
        <v>0</v>
      </c>
      <c r="K79" s="23">
        <v>0</v>
      </c>
      <c r="L79" s="38">
        <f t="shared" si="8"/>
        <v>0</v>
      </c>
      <c r="M79" s="23">
        <v>13</v>
      </c>
      <c r="N79" s="23">
        <v>3</v>
      </c>
      <c r="O79" s="23">
        <v>3</v>
      </c>
      <c r="P79" s="23">
        <v>1</v>
      </c>
      <c r="Q79" s="23">
        <v>0</v>
      </c>
      <c r="R79" s="25">
        <v>14</v>
      </c>
    </row>
    <row r="80" spans="1:18" x14ac:dyDescent="0.25">
      <c r="A80" s="43">
        <v>42193</v>
      </c>
      <c r="B80" s="43"/>
      <c r="C80" s="22" t="s">
        <v>102</v>
      </c>
      <c r="D80" s="23">
        <v>2</v>
      </c>
      <c r="E80" s="23">
        <v>4</v>
      </c>
      <c r="F80" s="38">
        <f t="shared" si="6"/>
        <v>0.5</v>
      </c>
      <c r="G80" s="23">
        <v>1</v>
      </c>
      <c r="H80" s="23">
        <v>1</v>
      </c>
      <c r="I80" s="38">
        <f t="shared" si="7"/>
        <v>1</v>
      </c>
      <c r="J80" s="23">
        <v>0</v>
      </c>
      <c r="K80" s="23">
        <v>0</v>
      </c>
      <c r="L80" s="38">
        <f t="shared" si="8"/>
        <v>0</v>
      </c>
      <c r="M80" s="23">
        <v>3</v>
      </c>
      <c r="N80" s="23">
        <v>0</v>
      </c>
      <c r="O80" s="23">
        <v>1</v>
      </c>
      <c r="P80" s="23">
        <v>4</v>
      </c>
      <c r="Q80" s="23">
        <v>1</v>
      </c>
      <c r="R80" s="25">
        <v>5</v>
      </c>
    </row>
    <row r="81" spans="1:18" x14ac:dyDescent="0.25">
      <c r="A81" s="43">
        <v>42193</v>
      </c>
      <c r="B81" s="43"/>
      <c r="C81" s="22" t="s">
        <v>57</v>
      </c>
      <c r="D81" s="23">
        <v>5</v>
      </c>
      <c r="E81" s="23">
        <v>12</v>
      </c>
      <c r="F81" s="38">
        <f t="shared" si="6"/>
        <v>0.41666666666666669</v>
      </c>
      <c r="G81" s="23">
        <v>0</v>
      </c>
      <c r="H81" s="23">
        <v>0</v>
      </c>
      <c r="I81" s="38">
        <f t="shared" si="7"/>
        <v>0</v>
      </c>
      <c r="J81" s="23">
        <v>1</v>
      </c>
      <c r="K81" s="23">
        <v>2</v>
      </c>
      <c r="L81" s="38">
        <f t="shared" si="8"/>
        <v>0.5</v>
      </c>
      <c r="M81" s="23">
        <v>7</v>
      </c>
      <c r="N81" s="23">
        <v>1</v>
      </c>
      <c r="O81" s="23">
        <v>0</v>
      </c>
      <c r="P81" s="23">
        <v>1</v>
      </c>
      <c r="Q81" s="23">
        <v>2</v>
      </c>
      <c r="R81" s="25">
        <v>11</v>
      </c>
    </row>
    <row r="82" spans="1:18" x14ac:dyDescent="0.25">
      <c r="A82" s="43">
        <v>42193</v>
      </c>
      <c r="B82" s="43"/>
      <c r="C82" s="22" t="s">
        <v>89</v>
      </c>
      <c r="D82" s="23">
        <v>8</v>
      </c>
      <c r="E82" s="23">
        <v>19</v>
      </c>
      <c r="F82" s="38">
        <f t="shared" si="6"/>
        <v>0.42105263157894735</v>
      </c>
      <c r="G82" s="23">
        <v>0</v>
      </c>
      <c r="H82" s="23">
        <v>0</v>
      </c>
      <c r="I82" s="38">
        <f t="shared" si="7"/>
        <v>0</v>
      </c>
      <c r="J82" s="23">
        <v>3</v>
      </c>
      <c r="K82" s="23">
        <v>3</v>
      </c>
      <c r="L82" s="38">
        <f t="shared" si="8"/>
        <v>1</v>
      </c>
      <c r="M82" s="23">
        <v>10</v>
      </c>
      <c r="N82" s="23">
        <v>2</v>
      </c>
      <c r="O82" s="23">
        <v>0</v>
      </c>
      <c r="P82" s="23">
        <v>0</v>
      </c>
      <c r="Q82" s="23">
        <v>3</v>
      </c>
      <c r="R82" s="25">
        <v>19</v>
      </c>
    </row>
    <row r="83" spans="1:18" x14ac:dyDescent="0.25">
      <c r="A83" s="43">
        <v>42193</v>
      </c>
      <c r="B83" s="43"/>
      <c r="C83" s="22" t="s">
        <v>72</v>
      </c>
      <c r="D83" s="23">
        <v>4</v>
      </c>
      <c r="E83" s="23">
        <v>8</v>
      </c>
      <c r="F83" s="38">
        <f t="shared" si="6"/>
        <v>0.5</v>
      </c>
      <c r="G83" s="23">
        <v>0</v>
      </c>
      <c r="H83" s="23">
        <v>1</v>
      </c>
      <c r="I83" s="38">
        <f t="shared" si="7"/>
        <v>0</v>
      </c>
      <c r="J83" s="23">
        <v>3</v>
      </c>
      <c r="K83" s="23">
        <v>3</v>
      </c>
      <c r="L83" s="38">
        <f t="shared" si="8"/>
        <v>1</v>
      </c>
      <c r="M83" s="23">
        <v>2</v>
      </c>
      <c r="N83" s="23">
        <v>2</v>
      </c>
      <c r="O83" s="23">
        <v>1</v>
      </c>
      <c r="P83" s="23">
        <v>1</v>
      </c>
      <c r="Q83" s="23">
        <v>0</v>
      </c>
      <c r="R83" s="25">
        <v>11</v>
      </c>
    </row>
    <row r="84" spans="1:18" x14ac:dyDescent="0.25">
      <c r="A84" s="43">
        <v>42194</v>
      </c>
      <c r="B84" s="43"/>
      <c r="C84" s="22" t="s">
        <v>90</v>
      </c>
      <c r="D84" s="23">
        <v>5</v>
      </c>
      <c r="E84" s="23">
        <v>7</v>
      </c>
      <c r="F84" s="38">
        <f t="shared" si="6"/>
        <v>0.7142857142857143</v>
      </c>
      <c r="G84" s="23">
        <v>0</v>
      </c>
      <c r="H84" s="23">
        <v>1</v>
      </c>
      <c r="I84" s="38">
        <f t="shared" si="7"/>
        <v>0</v>
      </c>
      <c r="J84" s="23">
        <v>2</v>
      </c>
      <c r="K84" s="23">
        <v>2</v>
      </c>
      <c r="L84" s="38">
        <f t="shared" si="8"/>
        <v>1</v>
      </c>
      <c r="M84" s="23">
        <v>3</v>
      </c>
      <c r="N84" s="23">
        <v>2</v>
      </c>
      <c r="O84" s="23">
        <v>0</v>
      </c>
      <c r="P84" s="23">
        <v>3</v>
      </c>
      <c r="Q84" s="23">
        <v>0</v>
      </c>
      <c r="R84" s="25">
        <v>12</v>
      </c>
    </row>
    <row r="85" spans="1:18" x14ac:dyDescent="0.25">
      <c r="A85" s="43">
        <v>42195</v>
      </c>
      <c r="B85" s="43"/>
      <c r="C85" s="22" t="s">
        <v>57</v>
      </c>
      <c r="D85" s="23">
        <v>10</v>
      </c>
      <c r="E85" s="23">
        <v>14</v>
      </c>
      <c r="F85" s="38">
        <f t="shared" si="6"/>
        <v>0.7142857142857143</v>
      </c>
      <c r="G85" s="23">
        <v>0</v>
      </c>
      <c r="H85" s="23">
        <v>1</v>
      </c>
      <c r="I85" s="38">
        <f t="shared" si="7"/>
        <v>0</v>
      </c>
      <c r="J85" s="23">
        <v>7</v>
      </c>
      <c r="K85" s="23">
        <v>9</v>
      </c>
      <c r="L85" s="38">
        <f t="shared" si="8"/>
        <v>0.77777777777777779</v>
      </c>
      <c r="M85" s="23">
        <v>7</v>
      </c>
      <c r="N85" s="23">
        <v>2</v>
      </c>
      <c r="O85" s="23">
        <v>2</v>
      </c>
      <c r="P85" s="23">
        <v>1</v>
      </c>
      <c r="Q85" s="23">
        <v>0</v>
      </c>
      <c r="R85" s="25">
        <v>27</v>
      </c>
    </row>
    <row r="86" spans="1:18" x14ac:dyDescent="0.25">
      <c r="A86" s="43">
        <v>42195</v>
      </c>
      <c r="B86" s="43"/>
      <c r="C86" s="22" t="s">
        <v>72</v>
      </c>
      <c r="D86" s="23">
        <v>1</v>
      </c>
      <c r="E86" s="23">
        <v>5</v>
      </c>
      <c r="F86" s="38">
        <f t="shared" si="6"/>
        <v>0.2</v>
      </c>
      <c r="G86" s="23">
        <v>0</v>
      </c>
      <c r="H86" s="23">
        <v>2</v>
      </c>
      <c r="I86" s="38">
        <f t="shared" si="7"/>
        <v>0</v>
      </c>
      <c r="J86" s="23">
        <v>3</v>
      </c>
      <c r="K86" s="23">
        <v>4</v>
      </c>
      <c r="L86" s="38">
        <f t="shared" si="8"/>
        <v>0.75</v>
      </c>
      <c r="M86" s="23">
        <v>4</v>
      </c>
      <c r="N86" s="23">
        <v>1</v>
      </c>
      <c r="O86" s="23">
        <v>0</v>
      </c>
      <c r="P86" s="23">
        <v>3</v>
      </c>
      <c r="Q86" s="23">
        <v>1</v>
      </c>
      <c r="R86" s="25">
        <v>5</v>
      </c>
    </row>
    <row r="87" spans="1:18" x14ac:dyDescent="0.25">
      <c r="A87" s="43">
        <v>42195</v>
      </c>
      <c r="B87" s="43"/>
      <c r="C87" s="22" t="s">
        <v>56</v>
      </c>
      <c r="D87" s="23">
        <v>3</v>
      </c>
      <c r="E87" s="23">
        <v>9</v>
      </c>
      <c r="F87" s="38">
        <f t="shared" si="6"/>
        <v>0.33333333333333331</v>
      </c>
      <c r="G87" s="23">
        <v>1</v>
      </c>
      <c r="H87" s="23">
        <v>2</v>
      </c>
      <c r="I87" s="38">
        <f t="shared" si="7"/>
        <v>0.5</v>
      </c>
      <c r="J87" s="23">
        <v>4</v>
      </c>
      <c r="K87" s="23">
        <v>4</v>
      </c>
      <c r="L87" s="38">
        <f t="shared" si="8"/>
        <v>1</v>
      </c>
      <c r="M87" s="23">
        <v>3</v>
      </c>
      <c r="N87" s="23">
        <v>4</v>
      </c>
      <c r="O87" s="23">
        <v>1</v>
      </c>
      <c r="P87" s="23">
        <v>2</v>
      </c>
      <c r="Q87" s="23">
        <v>0</v>
      </c>
      <c r="R87" s="25">
        <v>11</v>
      </c>
    </row>
    <row r="88" spans="1:18" x14ac:dyDescent="0.25">
      <c r="A88" s="43">
        <v>42195</v>
      </c>
      <c r="B88" s="43"/>
      <c r="C88" s="22" t="s">
        <v>102</v>
      </c>
      <c r="D88" s="23">
        <v>4</v>
      </c>
      <c r="E88" s="23">
        <v>7</v>
      </c>
      <c r="F88" s="38">
        <f t="shared" si="6"/>
        <v>0.5714285714285714</v>
      </c>
      <c r="G88" s="23">
        <v>2</v>
      </c>
      <c r="H88" s="23">
        <v>3</v>
      </c>
      <c r="I88" s="38">
        <f t="shared" si="7"/>
        <v>0.66666666666666663</v>
      </c>
      <c r="J88" s="23">
        <v>4</v>
      </c>
      <c r="K88" s="23">
        <v>4</v>
      </c>
      <c r="L88" s="38">
        <f t="shared" si="8"/>
        <v>1</v>
      </c>
      <c r="M88" s="23">
        <v>4</v>
      </c>
      <c r="N88" s="23">
        <v>5</v>
      </c>
      <c r="O88" s="23">
        <v>1</v>
      </c>
      <c r="P88" s="23">
        <v>0</v>
      </c>
      <c r="Q88" s="23">
        <v>0</v>
      </c>
      <c r="R88" s="25">
        <v>14</v>
      </c>
    </row>
    <row r="89" spans="1:18" x14ac:dyDescent="0.25">
      <c r="A89" s="21">
        <v>42196</v>
      </c>
      <c r="B89" s="20"/>
      <c r="C89" s="15" t="s">
        <v>89</v>
      </c>
      <c r="D89" s="16">
        <v>7</v>
      </c>
      <c r="E89" s="16">
        <v>19</v>
      </c>
      <c r="F89" s="55">
        <f t="shared" si="6"/>
        <v>0.36842105263157893</v>
      </c>
      <c r="G89" s="16">
        <v>0</v>
      </c>
      <c r="H89" s="16">
        <v>0</v>
      </c>
      <c r="I89" s="55">
        <f t="shared" si="7"/>
        <v>0</v>
      </c>
      <c r="J89" s="16">
        <v>0</v>
      </c>
      <c r="K89" s="16">
        <v>0</v>
      </c>
      <c r="L89" s="55">
        <f t="shared" si="8"/>
        <v>0</v>
      </c>
      <c r="M89" s="16">
        <v>11</v>
      </c>
      <c r="N89" s="16">
        <v>2</v>
      </c>
      <c r="O89" s="16">
        <v>1</v>
      </c>
      <c r="P89" s="16">
        <v>4</v>
      </c>
      <c r="Q89" s="16">
        <v>1</v>
      </c>
      <c r="R89" s="16">
        <v>14</v>
      </c>
    </row>
    <row r="90" spans="1:18" x14ac:dyDescent="0.25">
      <c r="A90" s="21">
        <v>42197</v>
      </c>
      <c r="B90" s="20"/>
      <c r="C90" s="15" t="s">
        <v>57</v>
      </c>
      <c r="D90" s="16">
        <v>1</v>
      </c>
      <c r="E90" s="16">
        <v>8</v>
      </c>
      <c r="F90" s="55">
        <f t="shared" si="6"/>
        <v>0.125</v>
      </c>
      <c r="G90" s="16">
        <v>0</v>
      </c>
      <c r="H90" s="16">
        <v>1</v>
      </c>
      <c r="I90" s="55">
        <f t="shared" si="7"/>
        <v>0</v>
      </c>
      <c r="J90" s="16">
        <v>2</v>
      </c>
      <c r="K90" s="16">
        <v>2</v>
      </c>
      <c r="L90" s="55">
        <f t="shared" si="8"/>
        <v>1</v>
      </c>
      <c r="M90" s="16">
        <v>2</v>
      </c>
      <c r="N90" s="16">
        <v>0</v>
      </c>
      <c r="O90" s="16">
        <v>1</v>
      </c>
      <c r="P90" s="16">
        <v>1</v>
      </c>
      <c r="Q90" s="16">
        <v>0</v>
      </c>
      <c r="R90" s="16">
        <v>4</v>
      </c>
    </row>
    <row r="91" spans="1:18" x14ac:dyDescent="0.25">
      <c r="A91" s="21">
        <v>42197</v>
      </c>
      <c r="B91" s="20"/>
      <c r="C91" s="15" t="s">
        <v>55</v>
      </c>
      <c r="D91" s="16">
        <v>2</v>
      </c>
      <c r="E91" s="16">
        <v>8</v>
      </c>
      <c r="F91" s="55">
        <f t="shared" si="6"/>
        <v>0.25</v>
      </c>
      <c r="G91" s="16">
        <v>2</v>
      </c>
      <c r="H91" s="16">
        <v>4</v>
      </c>
      <c r="I91" s="55">
        <f t="shared" si="7"/>
        <v>0.5</v>
      </c>
      <c r="J91" s="16">
        <v>0</v>
      </c>
      <c r="K91" s="16">
        <v>0</v>
      </c>
      <c r="L91" s="55">
        <f t="shared" si="8"/>
        <v>0</v>
      </c>
      <c r="M91" s="16">
        <v>1</v>
      </c>
      <c r="N91" s="16">
        <v>0</v>
      </c>
      <c r="O91" s="16">
        <v>1</v>
      </c>
      <c r="P91" s="16">
        <v>0</v>
      </c>
      <c r="Q91" s="16">
        <v>1</v>
      </c>
      <c r="R91" s="16">
        <v>6</v>
      </c>
    </row>
    <row r="92" spans="1:18" x14ac:dyDescent="0.25">
      <c r="A92" s="21">
        <v>42197</v>
      </c>
      <c r="B92" s="20"/>
      <c r="C92" s="15" t="s">
        <v>56</v>
      </c>
      <c r="D92" s="16">
        <v>2</v>
      </c>
      <c r="E92" s="16">
        <v>6</v>
      </c>
      <c r="F92" s="55">
        <f t="shared" si="6"/>
        <v>0.33333333333333331</v>
      </c>
      <c r="G92" s="16">
        <v>1</v>
      </c>
      <c r="H92" s="16">
        <v>2</v>
      </c>
      <c r="I92" s="55">
        <f t="shared" si="7"/>
        <v>0.5</v>
      </c>
      <c r="J92" s="16">
        <v>4</v>
      </c>
      <c r="K92" s="16">
        <v>4</v>
      </c>
      <c r="L92" s="55">
        <f t="shared" si="8"/>
        <v>1</v>
      </c>
      <c r="M92" s="16">
        <v>3</v>
      </c>
      <c r="N92" s="16">
        <v>4</v>
      </c>
      <c r="O92" s="16">
        <v>1</v>
      </c>
      <c r="P92" s="16">
        <v>1</v>
      </c>
      <c r="Q92" s="16">
        <v>0</v>
      </c>
      <c r="R92" s="16">
        <v>9</v>
      </c>
    </row>
    <row r="93" spans="1:18" x14ac:dyDescent="0.25">
      <c r="A93" s="21">
        <v>42197</v>
      </c>
      <c r="B93" s="20"/>
      <c r="C93" s="15" t="s">
        <v>90</v>
      </c>
      <c r="D93" s="16">
        <v>2</v>
      </c>
      <c r="E93" s="16">
        <v>6</v>
      </c>
      <c r="F93" s="55">
        <f t="shared" si="6"/>
        <v>0.33333333333333331</v>
      </c>
      <c r="G93" s="16">
        <v>0</v>
      </c>
      <c r="H93" s="16">
        <v>1</v>
      </c>
      <c r="I93" s="55">
        <f t="shared" si="7"/>
        <v>0</v>
      </c>
      <c r="J93" s="16">
        <v>3</v>
      </c>
      <c r="K93" s="16">
        <v>3</v>
      </c>
      <c r="L93" s="55">
        <f t="shared" si="8"/>
        <v>1</v>
      </c>
      <c r="M93" s="16">
        <v>5</v>
      </c>
      <c r="N93" s="16">
        <v>4</v>
      </c>
      <c r="O93" s="16">
        <v>2</v>
      </c>
      <c r="P93" s="16">
        <v>4</v>
      </c>
      <c r="Q93" s="16">
        <v>0</v>
      </c>
      <c r="R93" s="16">
        <v>7</v>
      </c>
    </row>
    <row r="94" spans="1:18" x14ac:dyDescent="0.25">
      <c r="A94" s="21">
        <v>42199</v>
      </c>
      <c r="B94" s="20"/>
      <c r="C94" s="15" t="s">
        <v>55</v>
      </c>
      <c r="D94" s="16">
        <v>5</v>
      </c>
      <c r="E94" s="16">
        <v>10</v>
      </c>
      <c r="F94" s="56">
        <f t="shared" si="6"/>
        <v>0.5</v>
      </c>
      <c r="G94" s="16">
        <v>3</v>
      </c>
      <c r="H94" s="16">
        <v>5</v>
      </c>
      <c r="I94" s="56">
        <f t="shared" si="7"/>
        <v>0.6</v>
      </c>
      <c r="J94" s="16">
        <v>0</v>
      </c>
      <c r="K94" s="16">
        <v>0</v>
      </c>
      <c r="L94" s="56">
        <f t="shared" si="8"/>
        <v>0</v>
      </c>
      <c r="M94" s="16">
        <v>3</v>
      </c>
      <c r="N94" s="16">
        <v>2</v>
      </c>
      <c r="O94" s="16">
        <v>1</v>
      </c>
      <c r="P94" s="16">
        <v>1</v>
      </c>
      <c r="Q94" s="16">
        <v>0</v>
      </c>
      <c r="R94" s="16">
        <v>13</v>
      </c>
    </row>
    <row r="95" spans="1:18" x14ac:dyDescent="0.25">
      <c r="A95" s="21">
        <v>42200</v>
      </c>
      <c r="B95" s="20"/>
      <c r="C95" s="15" t="s">
        <v>57</v>
      </c>
      <c r="D95" s="16">
        <v>3</v>
      </c>
      <c r="E95" s="16">
        <v>11</v>
      </c>
      <c r="F95" s="56">
        <f t="shared" si="6"/>
        <v>0.27272727272727271</v>
      </c>
      <c r="G95" s="16">
        <v>0</v>
      </c>
      <c r="H95" s="16">
        <v>0</v>
      </c>
      <c r="I95" s="56">
        <f t="shared" si="7"/>
        <v>0</v>
      </c>
      <c r="J95" s="16">
        <v>5</v>
      </c>
      <c r="K95" s="16">
        <v>6</v>
      </c>
      <c r="L95" s="56">
        <f t="shared" si="8"/>
        <v>0.83333333333333337</v>
      </c>
      <c r="M95" s="16">
        <v>5</v>
      </c>
      <c r="N95" s="16">
        <v>0</v>
      </c>
      <c r="O95" s="16">
        <v>3</v>
      </c>
      <c r="P95" s="16">
        <v>1</v>
      </c>
      <c r="Q95" s="16">
        <v>0</v>
      </c>
      <c r="R95" s="16">
        <v>11</v>
      </c>
    </row>
    <row r="96" spans="1:18" x14ac:dyDescent="0.25">
      <c r="A96" s="21">
        <v>42200</v>
      </c>
      <c r="B96" s="20"/>
      <c r="C96" s="15" t="s">
        <v>72</v>
      </c>
      <c r="D96" s="16">
        <v>2</v>
      </c>
      <c r="E96" s="16">
        <v>10</v>
      </c>
      <c r="F96" s="56">
        <f t="shared" si="6"/>
        <v>0.2</v>
      </c>
      <c r="G96" s="16">
        <v>1</v>
      </c>
      <c r="H96" s="16">
        <v>5</v>
      </c>
      <c r="I96" s="56">
        <f t="shared" si="7"/>
        <v>0.2</v>
      </c>
      <c r="J96" s="16">
        <v>6</v>
      </c>
      <c r="K96" s="16">
        <v>6</v>
      </c>
      <c r="L96" s="56">
        <f t="shared" si="8"/>
        <v>1</v>
      </c>
      <c r="M96" s="16">
        <v>3</v>
      </c>
      <c r="N96" s="16">
        <v>0</v>
      </c>
      <c r="O96" s="16">
        <v>0</v>
      </c>
      <c r="P96" s="16">
        <v>1</v>
      </c>
      <c r="Q96" s="16">
        <v>1</v>
      </c>
      <c r="R96" s="16">
        <v>11</v>
      </c>
    </row>
    <row r="97" spans="1:18" x14ac:dyDescent="0.25">
      <c r="A97" s="43">
        <v>42200</v>
      </c>
      <c r="B97" s="43"/>
      <c r="C97" s="22" t="s">
        <v>90</v>
      </c>
      <c r="D97" s="23">
        <v>1</v>
      </c>
      <c r="E97" s="23">
        <v>4</v>
      </c>
      <c r="F97" s="38">
        <f t="shared" si="6"/>
        <v>0.25</v>
      </c>
      <c r="G97" s="23">
        <v>0</v>
      </c>
      <c r="H97" s="23">
        <v>2</v>
      </c>
      <c r="I97" s="38">
        <f t="shared" si="7"/>
        <v>0</v>
      </c>
      <c r="J97" s="23">
        <v>0</v>
      </c>
      <c r="K97" s="23">
        <v>0</v>
      </c>
      <c r="L97" s="38">
        <f t="shared" si="8"/>
        <v>0</v>
      </c>
      <c r="M97" s="23">
        <v>0</v>
      </c>
      <c r="N97" s="23">
        <v>5</v>
      </c>
      <c r="O97" s="23">
        <v>1</v>
      </c>
      <c r="P97" s="23">
        <v>2</v>
      </c>
      <c r="Q97" s="23">
        <v>0</v>
      </c>
      <c r="R97" s="25">
        <v>2</v>
      </c>
    </row>
    <row r="98" spans="1:18" x14ac:dyDescent="0.25">
      <c r="A98" s="43">
        <v>42200</v>
      </c>
      <c r="B98" s="43"/>
      <c r="C98" s="22" t="s">
        <v>56</v>
      </c>
      <c r="D98" s="23">
        <v>3</v>
      </c>
      <c r="E98" s="23">
        <v>7</v>
      </c>
      <c r="F98" s="38">
        <f t="shared" ref="F98:F129" si="9">IF(E98=0,0,D98/E98)</f>
        <v>0.42857142857142855</v>
      </c>
      <c r="G98" s="23">
        <v>0</v>
      </c>
      <c r="H98" s="23">
        <v>0</v>
      </c>
      <c r="I98" s="38">
        <f t="shared" ref="I98:I129" si="10">IF(H98=0,0,G98/H98)</f>
        <v>0</v>
      </c>
      <c r="J98" s="23">
        <v>1</v>
      </c>
      <c r="K98" s="23">
        <v>1</v>
      </c>
      <c r="L98" s="38">
        <f t="shared" ref="L98:L129" si="11">IF(K98=0,0,J98/K98)</f>
        <v>1</v>
      </c>
      <c r="M98" s="23">
        <v>1</v>
      </c>
      <c r="N98" s="23">
        <v>4</v>
      </c>
      <c r="O98" s="23">
        <v>3</v>
      </c>
      <c r="P98" s="23">
        <v>0</v>
      </c>
      <c r="Q98" s="23">
        <v>1</v>
      </c>
      <c r="R98" s="25">
        <v>7</v>
      </c>
    </row>
    <row r="99" spans="1:18" x14ac:dyDescent="0.25">
      <c r="A99" s="43">
        <v>42200</v>
      </c>
      <c r="B99" s="43"/>
      <c r="C99" s="22" t="s">
        <v>89</v>
      </c>
      <c r="D99" s="23">
        <v>3</v>
      </c>
      <c r="E99" s="23">
        <v>6</v>
      </c>
      <c r="F99" s="38">
        <f t="shared" si="9"/>
        <v>0.5</v>
      </c>
      <c r="G99" s="23">
        <v>0</v>
      </c>
      <c r="H99" s="23">
        <v>0</v>
      </c>
      <c r="I99" s="38">
        <f t="shared" si="10"/>
        <v>0</v>
      </c>
      <c r="J99" s="23">
        <v>3</v>
      </c>
      <c r="K99" s="23">
        <v>4</v>
      </c>
      <c r="L99" s="38">
        <f t="shared" si="11"/>
        <v>0.75</v>
      </c>
      <c r="M99" s="23">
        <v>5</v>
      </c>
      <c r="N99" s="23">
        <v>3</v>
      </c>
      <c r="O99" s="23">
        <v>1</v>
      </c>
      <c r="P99" s="23">
        <v>3</v>
      </c>
      <c r="Q99" s="23">
        <v>2</v>
      </c>
      <c r="R99" s="25">
        <v>9</v>
      </c>
    </row>
    <row r="100" spans="1:18" x14ac:dyDescent="0.25">
      <c r="A100" s="65">
        <v>42201</v>
      </c>
      <c r="B100" s="65"/>
      <c r="C100" s="66" t="s">
        <v>90</v>
      </c>
      <c r="D100" s="67">
        <v>2</v>
      </c>
      <c r="E100" s="67">
        <v>6</v>
      </c>
      <c r="F100" s="68">
        <f t="shared" si="9"/>
        <v>0.33333333333333331</v>
      </c>
      <c r="G100" s="67">
        <v>0</v>
      </c>
      <c r="H100" s="67">
        <v>0</v>
      </c>
      <c r="I100" s="68">
        <f t="shared" si="10"/>
        <v>0</v>
      </c>
      <c r="J100" s="67">
        <v>0</v>
      </c>
      <c r="K100" s="67">
        <v>1</v>
      </c>
      <c r="L100" s="68">
        <f t="shared" si="11"/>
        <v>0</v>
      </c>
      <c r="M100" s="67">
        <v>1</v>
      </c>
      <c r="N100" s="67">
        <v>5</v>
      </c>
      <c r="O100" s="67">
        <v>1</v>
      </c>
      <c r="P100" s="67">
        <v>4</v>
      </c>
      <c r="Q100" s="67">
        <v>0</v>
      </c>
      <c r="R100" s="69">
        <v>4</v>
      </c>
    </row>
    <row r="101" spans="1:18" x14ac:dyDescent="0.25">
      <c r="A101" s="65">
        <v>42201</v>
      </c>
      <c r="B101" s="65"/>
      <c r="C101" s="66" t="s">
        <v>89</v>
      </c>
      <c r="D101" s="67">
        <v>8</v>
      </c>
      <c r="E101" s="67">
        <v>17</v>
      </c>
      <c r="F101" s="68">
        <f t="shared" si="9"/>
        <v>0.47058823529411764</v>
      </c>
      <c r="G101" s="67">
        <v>0</v>
      </c>
      <c r="H101" s="67">
        <v>0</v>
      </c>
      <c r="I101" s="68">
        <f t="shared" si="10"/>
        <v>0</v>
      </c>
      <c r="J101" s="67">
        <v>4</v>
      </c>
      <c r="K101" s="67">
        <v>4</v>
      </c>
      <c r="L101" s="68">
        <f t="shared" si="11"/>
        <v>1</v>
      </c>
      <c r="M101" s="67">
        <v>11</v>
      </c>
      <c r="N101" s="67">
        <v>3</v>
      </c>
      <c r="O101" s="67">
        <v>0</v>
      </c>
      <c r="P101" s="67">
        <v>3</v>
      </c>
      <c r="Q101" s="67">
        <v>2</v>
      </c>
      <c r="R101" s="69">
        <v>20</v>
      </c>
    </row>
    <row r="102" spans="1:18" x14ac:dyDescent="0.25">
      <c r="A102" s="43">
        <v>42202</v>
      </c>
      <c r="B102" s="43"/>
      <c r="C102" s="22" t="s">
        <v>56</v>
      </c>
      <c r="D102" s="23">
        <v>4</v>
      </c>
      <c r="E102" s="23">
        <v>10</v>
      </c>
      <c r="F102" s="38">
        <f t="shared" si="9"/>
        <v>0.4</v>
      </c>
      <c r="G102" s="23">
        <v>0</v>
      </c>
      <c r="H102" s="23">
        <v>2</v>
      </c>
      <c r="I102" s="38">
        <f t="shared" si="10"/>
        <v>0</v>
      </c>
      <c r="J102" s="23">
        <v>0</v>
      </c>
      <c r="K102" s="23">
        <v>0</v>
      </c>
      <c r="L102" s="38">
        <f t="shared" si="11"/>
        <v>0</v>
      </c>
      <c r="M102" s="23">
        <v>3</v>
      </c>
      <c r="N102" s="23">
        <v>5</v>
      </c>
      <c r="O102" s="23">
        <v>0</v>
      </c>
      <c r="P102" s="23">
        <v>3</v>
      </c>
      <c r="Q102" s="23">
        <v>0</v>
      </c>
      <c r="R102" s="25">
        <v>8</v>
      </c>
    </row>
    <row r="103" spans="1:18" x14ac:dyDescent="0.25">
      <c r="A103" s="43">
        <v>42202</v>
      </c>
      <c r="B103" s="43"/>
      <c r="C103" s="22" t="s">
        <v>57</v>
      </c>
      <c r="D103" s="23">
        <v>7</v>
      </c>
      <c r="E103" s="23">
        <v>16</v>
      </c>
      <c r="F103" s="38">
        <f t="shared" si="9"/>
        <v>0.4375</v>
      </c>
      <c r="G103" s="23">
        <v>0</v>
      </c>
      <c r="H103" s="23">
        <v>0</v>
      </c>
      <c r="I103" s="38">
        <f t="shared" si="10"/>
        <v>0</v>
      </c>
      <c r="J103" s="23">
        <v>4</v>
      </c>
      <c r="K103" s="23">
        <v>5</v>
      </c>
      <c r="L103" s="38">
        <f t="shared" si="11"/>
        <v>0.8</v>
      </c>
      <c r="M103" s="23">
        <v>7</v>
      </c>
      <c r="N103" s="23">
        <v>1</v>
      </c>
      <c r="O103" s="23">
        <v>2</v>
      </c>
      <c r="P103" s="23">
        <v>2</v>
      </c>
      <c r="Q103" s="23">
        <v>0</v>
      </c>
      <c r="R103" s="25">
        <v>18</v>
      </c>
    </row>
    <row r="104" spans="1:18" x14ac:dyDescent="0.25">
      <c r="A104" s="43">
        <v>42202</v>
      </c>
      <c r="B104" s="43"/>
      <c r="C104" s="22" t="s">
        <v>72</v>
      </c>
      <c r="D104" s="23">
        <v>4</v>
      </c>
      <c r="E104" s="23">
        <v>7</v>
      </c>
      <c r="F104" s="38">
        <f t="shared" si="9"/>
        <v>0.5714285714285714</v>
      </c>
      <c r="G104" s="23">
        <v>0</v>
      </c>
      <c r="H104" s="23">
        <v>1</v>
      </c>
      <c r="I104" s="38">
        <f t="shared" si="10"/>
        <v>0</v>
      </c>
      <c r="J104" s="23">
        <v>2</v>
      </c>
      <c r="K104" s="23">
        <v>4</v>
      </c>
      <c r="L104" s="38">
        <f t="shared" si="11"/>
        <v>0.5</v>
      </c>
      <c r="M104" s="23">
        <v>5</v>
      </c>
      <c r="N104" s="23">
        <v>0</v>
      </c>
      <c r="O104" s="23">
        <v>0</v>
      </c>
      <c r="P104" s="23">
        <v>1</v>
      </c>
      <c r="Q104" s="23">
        <v>1</v>
      </c>
      <c r="R104" s="25">
        <v>10</v>
      </c>
    </row>
    <row r="105" spans="1:18" x14ac:dyDescent="0.25">
      <c r="A105" s="43">
        <v>42203</v>
      </c>
      <c r="B105" s="43"/>
      <c r="C105" s="22" t="s">
        <v>90</v>
      </c>
      <c r="D105" s="23">
        <v>1</v>
      </c>
      <c r="E105" s="23">
        <v>5</v>
      </c>
      <c r="F105" s="38">
        <f t="shared" si="9"/>
        <v>0.2</v>
      </c>
      <c r="G105" s="23">
        <v>0</v>
      </c>
      <c r="H105" s="23">
        <v>0</v>
      </c>
      <c r="I105" s="38">
        <f t="shared" si="10"/>
        <v>0</v>
      </c>
      <c r="J105" s="23">
        <v>1</v>
      </c>
      <c r="K105" s="23">
        <v>1</v>
      </c>
      <c r="L105" s="38">
        <f t="shared" si="11"/>
        <v>1</v>
      </c>
      <c r="M105" s="23">
        <v>2</v>
      </c>
      <c r="N105" s="23">
        <v>1</v>
      </c>
      <c r="O105" s="23">
        <v>2</v>
      </c>
      <c r="P105" s="23">
        <v>0</v>
      </c>
      <c r="Q105" s="23">
        <v>0</v>
      </c>
      <c r="R105" s="25">
        <v>3</v>
      </c>
    </row>
    <row r="106" spans="1:18" x14ac:dyDescent="0.25">
      <c r="A106" s="43">
        <v>42203</v>
      </c>
      <c r="B106" s="43"/>
      <c r="C106" s="22" t="s">
        <v>86</v>
      </c>
      <c r="D106" s="23">
        <v>2</v>
      </c>
      <c r="E106" s="23">
        <v>5</v>
      </c>
      <c r="F106" s="38">
        <f t="shared" si="9"/>
        <v>0.4</v>
      </c>
      <c r="G106" s="23">
        <v>0</v>
      </c>
      <c r="H106" s="23">
        <v>0</v>
      </c>
      <c r="I106" s="38">
        <f t="shared" si="10"/>
        <v>0</v>
      </c>
      <c r="J106" s="23">
        <v>4</v>
      </c>
      <c r="K106" s="23">
        <v>4</v>
      </c>
      <c r="L106" s="38">
        <f t="shared" si="11"/>
        <v>1</v>
      </c>
      <c r="M106" s="23">
        <v>2</v>
      </c>
      <c r="N106" s="23">
        <v>3</v>
      </c>
      <c r="O106" s="23">
        <v>1</v>
      </c>
      <c r="P106" s="23">
        <v>3</v>
      </c>
      <c r="Q106" s="23">
        <v>1</v>
      </c>
      <c r="R106" s="25">
        <v>8</v>
      </c>
    </row>
    <row r="107" spans="1:18" x14ac:dyDescent="0.25">
      <c r="A107" s="43">
        <v>42203</v>
      </c>
      <c r="B107" s="43"/>
      <c r="C107" s="22" t="s">
        <v>102</v>
      </c>
      <c r="D107" s="23">
        <v>2</v>
      </c>
      <c r="E107" s="23">
        <v>2</v>
      </c>
      <c r="F107" s="38">
        <f t="shared" si="9"/>
        <v>1</v>
      </c>
      <c r="G107" s="23">
        <v>0</v>
      </c>
      <c r="H107" s="23">
        <v>0</v>
      </c>
      <c r="I107" s="38">
        <f t="shared" si="10"/>
        <v>0</v>
      </c>
      <c r="J107" s="23">
        <v>0</v>
      </c>
      <c r="K107" s="23">
        <v>0</v>
      </c>
      <c r="L107" s="38">
        <f t="shared" si="11"/>
        <v>0</v>
      </c>
      <c r="M107" s="23">
        <v>1</v>
      </c>
      <c r="N107" s="23">
        <v>4</v>
      </c>
      <c r="O107" s="23">
        <v>0</v>
      </c>
      <c r="P107" s="23">
        <v>3</v>
      </c>
      <c r="Q107" s="23">
        <v>0</v>
      </c>
      <c r="R107" s="25">
        <v>4</v>
      </c>
    </row>
    <row r="108" spans="1:18" x14ac:dyDescent="0.25">
      <c r="A108" s="43">
        <v>42204</v>
      </c>
      <c r="B108" s="43"/>
      <c r="C108" s="22" t="s">
        <v>57</v>
      </c>
      <c r="D108" s="23">
        <v>7</v>
      </c>
      <c r="E108" s="23">
        <v>14</v>
      </c>
      <c r="F108" s="38">
        <f t="shared" si="9"/>
        <v>0.5</v>
      </c>
      <c r="G108" s="23">
        <v>0</v>
      </c>
      <c r="H108" s="23">
        <v>0</v>
      </c>
      <c r="I108" s="38">
        <f t="shared" si="10"/>
        <v>0</v>
      </c>
      <c r="J108" s="23">
        <v>4</v>
      </c>
      <c r="K108" s="23">
        <v>6</v>
      </c>
      <c r="L108" s="38">
        <f t="shared" si="11"/>
        <v>0.66666666666666663</v>
      </c>
      <c r="M108" s="23">
        <v>0</v>
      </c>
      <c r="N108" s="23">
        <v>0</v>
      </c>
      <c r="O108" s="23">
        <v>0</v>
      </c>
      <c r="P108" s="23">
        <v>2</v>
      </c>
      <c r="Q108" s="23">
        <v>0</v>
      </c>
      <c r="R108" s="25">
        <v>18</v>
      </c>
    </row>
    <row r="109" spans="1:18" x14ac:dyDescent="0.25">
      <c r="A109" s="43">
        <v>42204</v>
      </c>
      <c r="B109" s="43"/>
      <c r="C109" s="22" t="s">
        <v>72</v>
      </c>
      <c r="D109" s="23">
        <v>8</v>
      </c>
      <c r="E109" s="23">
        <v>16</v>
      </c>
      <c r="F109" s="38">
        <f t="shared" si="9"/>
        <v>0.5</v>
      </c>
      <c r="G109" s="23">
        <v>3</v>
      </c>
      <c r="H109" s="23">
        <v>5</v>
      </c>
      <c r="I109" s="38">
        <f t="shared" si="10"/>
        <v>0.6</v>
      </c>
      <c r="J109" s="23">
        <v>1</v>
      </c>
      <c r="K109" s="23">
        <v>1</v>
      </c>
      <c r="L109" s="38">
        <f t="shared" si="11"/>
        <v>1</v>
      </c>
      <c r="M109" s="23">
        <v>4</v>
      </c>
      <c r="N109" s="23">
        <v>0</v>
      </c>
      <c r="O109" s="23">
        <v>1</v>
      </c>
      <c r="P109" s="23">
        <v>0</v>
      </c>
      <c r="Q109" s="23">
        <v>0</v>
      </c>
      <c r="R109" s="25">
        <v>20</v>
      </c>
    </row>
    <row r="110" spans="1:18" x14ac:dyDescent="0.25">
      <c r="A110" s="43">
        <v>42204</v>
      </c>
      <c r="B110" s="43"/>
      <c r="C110" s="22" t="s">
        <v>56</v>
      </c>
      <c r="D110" s="23">
        <v>7</v>
      </c>
      <c r="E110" s="23">
        <v>9</v>
      </c>
      <c r="F110" s="38">
        <f t="shared" si="9"/>
        <v>0.77777777777777779</v>
      </c>
      <c r="G110" s="23">
        <v>0</v>
      </c>
      <c r="H110" s="23">
        <v>2</v>
      </c>
      <c r="I110" s="38">
        <f t="shared" si="10"/>
        <v>0</v>
      </c>
      <c r="J110" s="23">
        <v>0</v>
      </c>
      <c r="K110" s="23">
        <v>0</v>
      </c>
      <c r="L110" s="38">
        <f t="shared" si="11"/>
        <v>0</v>
      </c>
      <c r="M110" s="23">
        <v>3</v>
      </c>
      <c r="N110" s="23">
        <v>8</v>
      </c>
      <c r="O110" s="23">
        <v>1</v>
      </c>
      <c r="P110" s="23">
        <v>1</v>
      </c>
      <c r="Q110" s="23">
        <v>0</v>
      </c>
      <c r="R110" s="25">
        <v>14</v>
      </c>
    </row>
    <row r="111" spans="1:18" x14ac:dyDescent="0.25">
      <c r="A111" s="43">
        <v>42206</v>
      </c>
      <c r="B111" s="43"/>
      <c r="C111" s="22" t="s">
        <v>57</v>
      </c>
      <c r="D111" s="23">
        <v>4</v>
      </c>
      <c r="E111" s="23">
        <v>7</v>
      </c>
      <c r="F111" s="38">
        <f t="shared" si="9"/>
        <v>0.5714285714285714</v>
      </c>
      <c r="G111" s="23">
        <v>0</v>
      </c>
      <c r="H111" s="23">
        <v>0</v>
      </c>
      <c r="I111" s="38">
        <f t="shared" si="10"/>
        <v>0</v>
      </c>
      <c r="J111" s="23">
        <v>7</v>
      </c>
      <c r="K111" s="23">
        <v>7</v>
      </c>
      <c r="L111" s="38">
        <f t="shared" si="11"/>
        <v>1</v>
      </c>
      <c r="M111" s="23">
        <v>10</v>
      </c>
      <c r="N111" s="23">
        <v>1</v>
      </c>
      <c r="O111" s="23">
        <v>2</v>
      </c>
      <c r="P111" s="23">
        <v>3</v>
      </c>
      <c r="Q111" s="23">
        <v>0</v>
      </c>
      <c r="R111" s="25">
        <v>15</v>
      </c>
    </row>
    <row r="112" spans="1:18" x14ac:dyDescent="0.25">
      <c r="A112" s="43">
        <v>42206</v>
      </c>
      <c r="B112" s="43"/>
      <c r="C112" s="22" t="s">
        <v>56</v>
      </c>
      <c r="D112" s="23">
        <v>7</v>
      </c>
      <c r="E112" s="23">
        <v>13</v>
      </c>
      <c r="F112" s="38">
        <f t="shared" si="9"/>
        <v>0.53846153846153844</v>
      </c>
      <c r="G112" s="23">
        <v>0</v>
      </c>
      <c r="H112" s="23">
        <v>2</v>
      </c>
      <c r="I112" s="38">
        <f t="shared" si="10"/>
        <v>0</v>
      </c>
      <c r="J112" s="23">
        <v>5</v>
      </c>
      <c r="K112" s="23">
        <v>5</v>
      </c>
      <c r="L112" s="38">
        <f t="shared" si="11"/>
        <v>1</v>
      </c>
      <c r="M112" s="23">
        <v>1</v>
      </c>
      <c r="N112" s="23">
        <v>4</v>
      </c>
      <c r="O112" s="23">
        <v>2</v>
      </c>
      <c r="P112" s="23">
        <v>3</v>
      </c>
      <c r="Q112" s="23">
        <v>3</v>
      </c>
      <c r="R112" s="25">
        <v>19</v>
      </c>
    </row>
    <row r="113" spans="1:18" x14ac:dyDescent="0.25">
      <c r="A113" s="43">
        <v>42206</v>
      </c>
      <c r="B113" s="43"/>
      <c r="C113" s="22" t="s">
        <v>89</v>
      </c>
      <c r="D113" s="23">
        <v>8</v>
      </c>
      <c r="E113" s="23">
        <v>9</v>
      </c>
      <c r="F113" s="38">
        <f t="shared" si="9"/>
        <v>0.88888888888888884</v>
      </c>
      <c r="G113" s="23">
        <v>0</v>
      </c>
      <c r="H113" s="23">
        <v>0</v>
      </c>
      <c r="I113" s="38">
        <f t="shared" si="10"/>
        <v>0</v>
      </c>
      <c r="J113" s="23">
        <v>3</v>
      </c>
      <c r="K113" s="23">
        <v>3</v>
      </c>
      <c r="L113" s="38">
        <f t="shared" si="11"/>
        <v>1</v>
      </c>
      <c r="M113" s="23">
        <v>11</v>
      </c>
      <c r="N113" s="23">
        <v>0</v>
      </c>
      <c r="O113" s="23">
        <v>0</v>
      </c>
      <c r="P113" s="23">
        <v>3</v>
      </c>
      <c r="Q113" s="23">
        <v>0</v>
      </c>
      <c r="R113" s="25">
        <v>19</v>
      </c>
    </row>
    <row r="114" spans="1:18" x14ac:dyDescent="0.25">
      <c r="A114" s="43">
        <v>42206</v>
      </c>
      <c r="B114" s="43"/>
      <c r="C114" s="22" t="s">
        <v>90</v>
      </c>
      <c r="D114" s="23">
        <v>6</v>
      </c>
      <c r="E114" s="23">
        <v>12</v>
      </c>
      <c r="F114" s="38">
        <f t="shared" si="9"/>
        <v>0.5</v>
      </c>
      <c r="G114" s="23">
        <v>0</v>
      </c>
      <c r="H114" s="23">
        <v>0</v>
      </c>
      <c r="I114" s="38">
        <f t="shared" si="10"/>
        <v>0</v>
      </c>
      <c r="J114" s="23">
        <v>0</v>
      </c>
      <c r="K114" s="23">
        <v>1</v>
      </c>
      <c r="L114" s="38">
        <f t="shared" si="11"/>
        <v>0</v>
      </c>
      <c r="M114" s="23">
        <v>6</v>
      </c>
      <c r="N114" s="23">
        <v>5</v>
      </c>
      <c r="O114" s="23">
        <v>0</v>
      </c>
      <c r="P114" s="23">
        <v>2</v>
      </c>
      <c r="Q114" s="23">
        <v>0</v>
      </c>
      <c r="R114" s="25">
        <v>12</v>
      </c>
    </row>
    <row r="115" spans="1:18" x14ac:dyDescent="0.25">
      <c r="A115" s="43">
        <v>42206</v>
      </c>
      <c r="B115" s="43"/>
      <c r="C115" s="22" t="s">
        <v>86</v>
      </c>
      <c r="D115" s="23">
        <v>2</v>
      </c>
      <c r="E115" s="23">
        <v>6</v>
      </c>
      <c r="F115" s="38">
        <f t="shared" si="9"/>
        <v>0.33333333333333331</v>
      </c>
      <c r="G115" s="23">
        <v>0</v>
      </c>
      <c r="H115" s="23">
        <v>0</v>
      </c>
      <c r="I115" s="38">
        <f t="shared" si="10"/>
        <v>0</v>
      </c>
      <c r="J115" s="23">
        <v>4</v>
      </c>
      <c r="K115" s="23">
        <v>4</v>
      </c>
      <c r="L115" s="38">
        <f t="shared" si="11"/>
        <v>1</v>
      </c>
      <c r="M115" s="23">
        <v>5</v>
      </c>
      <c r="N115" s="23">
        <v>0</v>
      </c>
      <c r="O115" s="23">
        <v>0</v>
      </c>
      <c r="P115" s="23">
        <v>4</v>
      </c>
      <c r="Q115" s="23">
        <v>0</v>
      </c>
      <c r="R115" s="25">
        <v>8</v>
      </c>
    </row>
    <row r="116" spans="1:18" x14ac:dyDescent="0.25">
      <c r="A116" s="72">
        <v>42207</v>
      </c>
      <c r="B116" s="43"/>
      <c r="C116" s="22" t="s">
        <v>90</v>
      </c>
      <c r="D116" s="23">
        <v>0</v>
      </c>
      <c r="E116" s="23">
        <v>3</v>
      </c>
      <c r="F116" s="38">
        <f t="shared" si="9"/>
        <v>0</v>
      </c>
      <c r="G116" s="23">
        <v>0</v>
      </c>
      <c r="H116" s="23">
        <v>0</v>
      </c>
      <c r="I116" s="38">
        <f t="shared" si="10"/>
        <v>0</v>
      </c>
      <c r="J116" s="23">
        <v>2</v>
      </c>
      <c r="K116" s="23">
        <v>2</v>
      </c>
      <c r="L116" s="38">
        <f t="shared" si="11"/>
        <v>1</v>
      </c>
      <c r="M116" s="23">
        <v>0</v>
      </c>
      <c r="N116" s="23">
        <v>0</v>
      </c>
      <c r="O116" s="23">
        <v>0</v>
      </c>
      <c r="P116" s="23">
        <v>1</v>
      </c>
      <c r="Q116" s="23">
        <v>0</v>
      </c>
      <c r="R116" s="25">
        <v>2</v>
      </c>
    </row>
    <row r="117" spans="1:18" x14ac:dyDescent="0.25">
      <c r="A117" s="72">
        <v>42207</v>
      </c>
      <c r="B117" s="43"/>
      <c r="C117" s="22" t="s">
        <v>89</v>
      </c>
      <c r="D117" s="23">
        <v>6</v>
      </c>
      <c r="E117" s="23">
        <v>14</v>
      </c>
      <c r="F117" s="38">
        <f t="shared" si="9"/>
        <v>0.42857142857142855</v>
      </c>
      <c r="G117" s="23">
        <v>0</v>
      </c>
      <c r="H117" s="23">
        <v>0</v>
      </c>
      <c r="I117" s="38">
        <f t="shared" si="10"/>
        <v>0</v>
      </c>
      <c r="J117" s="23">
        <v>0</v>
      </c>
      <c r="K117" s="23">
        <v>0</v>
      </c>
      <c r="L117" s="38">
        <f t="shared" si="11"/>
        <v>0</v>
      </c>
      <c r="M117" s="23">
        <v>7</v>
      </c>
      <c r="N117" s="23">
        <v>2</v>
      </c>
      <c r="O117" s="23">
        <v>1</v>
      </c>
      <c r="P117" s="23">
        <v>0</v>
      </c>
      <c r="Q117" s="23">
        <v>3</v>
      </c>
      <c r="R117" s="25">
        <v>12</v>
      </c>
    </row>
    <row r="118" spans="1:18" x14ac:dyDescent="0.25">
      <c r="A118" s="77">
        <v>42213</v>
      </c>
      <c r="B118" s="43"/>
      <c r="C118" s="22" t="s">
        <v>56</v>
      </c>
      <c r="D118" s="23">
        <v>3</v>
      </c>
      <c r="E118" s="23">
        <v>10</v>
      </c>
      <c r="F118" s="38">
        <f t="shared" si="9"/>
        <v>0.3</v>
      </c>
      <c r="G118" s="23">
        <v>0</v>
      </c>
      <c r="H118" s="23">
        <v>4</v>
      </c>
      <c r="I118" s="38">
        <f t="shared" si="10"/>
        <v>0</v>
      </c>
      <c r="J118" s="23">
        <v>0</v>
      </c>
      <c r="K118" s="23">
        <v>0</v>
      </c>
      <c r="L118" s="38">
        <f t="shared" si="11"/>
        <v>0</v>
      </c>
      <c r="M118" s="23">
        <v>6</v>
      </c>
      <c r="N118" s="23">
        <v>6</v>
      </c>
      <c r="O118" s="23">
        <v>1</v>
      </c>
      <c r="P118" s="23">
        <v>3</v>
      </c>
      <c r="Q118" s="23">
        <v>0</v>
      </c>
      <c r="R118" s="25">
        <v>6</v>
      </c>
    </row>
    <row r="119" spans="1:18" x14ac:dyDescent="0.25">
      <c r="A119" s="43">
        <v>42214</v>
      </c>
      <c r="B119" s="43"/>
      <c r="C119" s="22" t="s">
        <v>86</v>
      </c>
      <c r="D119" s="23">
        <v>2</v>
      </c>
      <c r="E119" s="23">
        <v>7</v>
      </c>
      <c r="F119" s="38">
        <f t="shared" si="9"/>
        <v>0.2857142857142857</v>
      </c>
      <c r="G119" s="23">
        <v>0</v>
      </c>
      <c r="H119" s="23">
        <v>0</v>
      </c>
      <c r="I119" s="38">
        <f t="shared" si="10"/>
        <v>0</v>
      </c>
      <c r="J119" s="23">
        <v>0</v>
      </c>
      <c r="K119" s="23">
        <v>0</v>
      </c>
      <c r="L119" s="38">
        <f t="shared" si="11"/>
        <v>0</v>
      </c>
      <c r="M119" s="23">
        <v>6</v>
      </c>
      <c r="N119" s="23">
        <v>2</v>
      </c>
      <c r="O119" s="23">
        <v>1</v>
      </c>
      <c r="P119" s="23">
        <v>0</v>
      </c>
      <c r="Q119" s="23">
        <v>0</v>
      </c>
      <c r="R119" s="25">
        <v>4</v>
      </c>
    </row>
    <row r="120" spans="1:18" x14ac:dyDescent="0.25">
      <c r="A120" s="43">
        <v>42214</v>
      </c>
      <c r="B120" s="43"/>
      <c r="C120" s="22" t="s">
        <v>57</v>
      </c>
      <c r="D120" s="23">
        <v>5</v>
      </c>
      <c r="E120" s="23">
        <v>8</v>
      </c>
      <c r="F120" s="38">
        <f t="shared" si="9"/>
        <v>0.625</v>
      </c>
      <c r="G120" s="23">
        <v>0</v>
      </c>
      <c r="H120" s="23">
        <v>0</v>
      </c>
      <c r="I120" s="38">
        <f t="shared" si="10"/>
        <v>0</v>
      </c>
      <c r="J120" s="23">
        <v>3</v>
      </c>
      <c r="K120" s="23">
        <v>6</v>
      </c>
      <c r="L120" s="38">
        <f t="shared" si="11"/>
        <v>0.5</v>
      </c>
      <c r="M120" s="23">
        <v>5</v>
      </c>
      <c r="N120" s="23">
        <v>3</v>
      </c>
      <c r="O120" s="23">
        <v>2</v>
      </c>
      <c r="P120" s="23">
        <v>3</v>
      </c>
      <c r="Q120" s="23">
        <v>0</v>
      </c>
      <c r="R120" s="25">
        <v>13</v>
      </c>
    </row>
    <row r="121" spans="1:18" x14ac:dyDescent="0.25">
      <c r="A121" s="43">
        <v>42214</v>
      </c>
      <c r="B121" s="43"/>
      <c r="C121" s="22" t="s">
        <v>154</v>
      </c>
      <c r="D121" s="23">
        <v>4</v>
      </c>
      <c r="E121" s="23">
        <v>7</v>
      </c>
      <c r="F121" s="38">
        <f t="shared" si="9"/>
        <v>0.5714285714285714</v>
      </c>
      <c r="G121" s="23">
        <v>0</v>
      </c>
      <c r="H121" s="23">
        <v>0</v>
      </c>
      <c r="I121" s="38">
        <f t="shared" si="10"/>
        <v>0</v>
      </c>
      <c r="J121" s="23">
        <v>3</v>
      </c>
      <c r="K121" s="23">
        <v>4</v>
      </c>
      <c r="L121" s="38">
        <f t="shared" si="11"/>
        <v>0.75</v>
      </c>
      <c r="M121" s="23">
        <v>5</v>
      </c>
      <c r="N121" s="23">
        <v>1</v>
      </c>
      <c r="O121" s="23">
        <v>3</v>
      </c>
      <c r="P121" s="23">
        <v>1</v>
      </c>
      <c r="Q121" s="23">
        <v>0</v>
      </c>
      <c r="R121" s="25">
        <v>11</v>
      </c>
    </row>
    <row r="122" spans="1:18" x14ac:dyDescent="0.25">
      <c r="A122" s="43">
        <v>42214</v>
      </c>
      <c r="B122" s="43"/>
      <c r="C122" s="22" t="s">
        <v>90</v>
      </c>
      <c r="D122" s="23">
        <v>5</v>
      </c>
      <c r="E122" s="23">
        <v>11</v>
      </c>
      <c r="F122" s="38">
        <f t="shared" si="9"/>
        <v>0.45454545454545453</v>
      </c>
      <c r="G122" s="23">
        <v>0</v>
      </c>
      <c r="H122" s="23">
        <v>1</v>
      </c>
      <c r="I122" s="38">
        <f t="shared" si="10"/>
        <v>0</v>
      </c>
      <c r="J122" s="23">
        <v>3</v>
      </c>
      <c r="K122" s="23">
        <v>3</v>
      </c>
      <c r="L122" s="38">
        <f t="shared" si="11"/>
        <v>1</v>
      </c>
      <c r="M122" s="23">
        <v>1</v>
      </c>
      <c r="N122" s="23">
        <v>3</v>
      </c>
      <c r="O122" s="23">
        <v>1</v>
      </c>
      <c r="P122" s="23">
        <v>2</v>
      </c>
      <c r="Q122" s="23">
        <v>1</v>
      </c>
      <c r="R122" s="25">
        <v>13</v>
      </c>
    </row>
    <row r="123" spans="1:18" x14ac:dyDescent="0.25">
      <c r="A123" s="43">
        <v>42214</v>
      </c>
      <c r="B123" s="43"/>
      <c r="C123" s="22" t="s">
        <v>89</v>
      </c>
      <c r="D123" s="23">
        <v>7</v>
      </c>
      <c r="E123" s="23">
        <v>10</v>
      </c>
      <c r="F123" s="38">
        <f t="shared" si="9"/>
        <v>0.7</v>
      </c>
      <c r="G123" s="23">
        <v>1</v>
      </c>
      <c r="H123" s="23">
        <v>1</v>
      </c>
      <c r="I123" s="38">
        <f t="shared" si="10"/>
        <v>1</v>
      </c>
      <c r="J123" s="23">
        <v>0</v>
      </c>
      <c r="K123" s="23">
        <v>0</v>
      </c>
      <c r="L123" s="38">
        <f t="shared" si="11"/>
        <v>0</v>
      </c>
      <c r="M123" s="23">
        <v>10</v>
      </c>
      <c r="N123" s="23">
        <v>1</v>
      </c>
      <c r="O123" s="23">
        <v>0</v>
      </c>
      <c r="P123" s="23">
        <v>3</v>
      </c>
      <c r="Q123" s="23">
        <v>1</v>
      </c>
      <c r="R123" s="25">
        <v>15</v>
      </c>
    </row>
    <row r="124" spans="1:18" x14ac:dyDescent="0.25">
      <c r="A124" s="43">
        <v>42216</v>
      </c>
      <c r="B124" s="43"/>
      <c r="C124" s="22" t="s">
        <v>86</v>
      </c>
      <c r="D124" s="23">
        <v>4</v>
      </c>
      <c r="E124" s="23">
        <v>6</v>
      </c>
      <c r="F124" s="38">
        <f t="shared" si="9"/>
        <v>0.66666666666666663</v>
      </c>
      <c r="G124" s="23">
        <v>0</v>
      </c>
      <c r="H124" s="23">
        <v>0</v>
      </c>
      <c r="I124" s="38">
        <f t="shared" si="10"/>
        <v>0</v>
      </c>
      <c r="J124" s="23">
        <v>5</v>
      </c>
      <c r="K124" s="23">
        <v>5</v>
      </c>
      <c r="L124" s="38">
        <f t="shared" si="11"/>
        <v>1</v>
      </c>
      <c r="M124" s="23">
        <v>4</v>
      </c>
      <c r="N124" s="23">
        <v>1</v>
      </c>
      <c r="O124" s="23">
        <v>2</v>
      </c>
      <c r="P124" s="23">
        <v>2</v>
      </c>
      <c r="Q124" s="23">
        <v>0</v>
      </c>
      <c r="R124" s="25">
        <v>13</v>
      </c>
    </row>
    <row r="125" spans="1:18" x14ac:dyDescent="0.25">
      <c r="A125" s="43">
        <v>42216</v>
      </c>
      <c r="B125" s="43"/>
      <c r="C125" s="22" t="s">
        <v>57</v>
      </c>
      <c r="D125" s="23">
        <v>8</v>
      </c>
      <c r="E125" s="23">
        <v>16</v>
      </c>
      <c r="F125" s="38">
        <f t="shared" si="9"/>
        <v>0.5</v>
      </c>
      <c r="G125" s="23">
        <v>0</v>
      </c>
      <c r="H125" s="23">
        <v>0</v>
      </c>
      <c r="I125" s="38">
        <f t="shared" si="10"/>
        <v>0</v>
      </c>
      <c r="J125" s="23">
        <v>1</v>
      </c>
      <c r="K125" s="23">
        <v>4</v>
      </c>
      <c r="L125" s="38">
        <f t="shared" si="11"/>
        <v>0.25</v>
      </c>
      <c r="M125" s="23">
        <v>7</v>
      </c>
      <c r="N125" s="23">
        <v>4</v>
      </c>
      <c r="O125" s="23">
        <v>2</v>
      </c>
      <c r="P125" s="23">
        <v>2</v>
      </c>
      <c r="Q125" s="23">
        <v>0</v>
      </c>
      <c r="R125" s="25">
        <v>17</v>
      </c>
    </row>
    <row r="126" spans="1:18" x14ac:dyDescent="0.25">
      <c r="A126" s="43">
        <v>42216</v>
      </c>
      <c r="B126" s="43"/>
      <c r="C126" s="22" t="s">
        <v>89</v>
      </c>
      <c r="D126" s="23">
        <v>4</v>
      </c>
      <c r="E126" s="23">
        <v>10</v>
      </c>
      <c r="F126" s="38">
        <f t="shared" si="9"/>
        <v>0.4</v>
      </c>
      <c r="G126" s="23">
        <v>0</v>
      </c>
      <c r="H126" s="23">
        <v>0</v>
      </c>
      <c r="I126" s="38">
        <f t="shared" si="10"/>
        <v>0</v>
      </c>
      <c r="J126" s="23">
        <v>2</v>
      </c>
      <c r="K126" s="23">
        <v>4</v>
      </c>
      <c r="L126" s="38">
        <f t="shared" si="11"/>
        <v>0.5</v>
      </c>
      <c r="M126" s="23">
        <v>8</v>
      </c>
      <c r="N126" s="23">
        <v>3</v>
      </c>
      <c r="O126" s="23">
        <v>0</v>
      </c>
      <c r="P126" s="23">
        <v>1</v>
      </c>
      <c r="Q126" s="23">
        <v>3</v>
      </c>
      <c r="R126" s="25">
        <v>10</v>
      </c>
    </row>
    <row r="127" spans="1:18" x14ac:dyDescent="0.25">
      <c r="A127" s="43">
        <v>42216</v>
      </c>
      <c r="B127" s="43"/>
      <c r="C127" s="22" t="s">
        <v>56</v>
      </c>
      <c r="D127" s="23">
        <v>4</v>
      </c>
      <c r="E127" s="23">
        <v>11</v>
      </c>
      <c r="F127" s="38">
        <f t="shared" si="9"/>
        <v>0.36363636363636365</v>
      </c>
      <c r="G127" s="23">
        <v>0</v>
      </c>
      <c r="H127" s="23">
        <v>2</v>
      </c>
      <c r="I127" s="38">
        <f t="shared" si="10"/>
        <v>0</v>
      </c>
      <c r="J127" s="23">
        <v>0</v>
      </c>
      <c r="K127" s="23">
        <v>0</v>
      </c>
      <c r="L127" s="38">
        <f t="shared" si="11"/>
        <v>0</v>
      </c>
      <c r="M127" s="23">
        <v>4</v>
      </c>
      <c r="N127" s="23">
        <v>13</v>
      </c>
      <c r="O127" s="23">
        <v>1</v>
      </c>
      <c r="P127" s="23">
        <v>2</v>
      </c>
      <c r="Q127" s="23">
        <v>1</v>
      </c>
      <c r="R127" s="25">
        <v>8</v>
      </c>
    </row>
    <row r="128" spans="1:18" x14ac:dyDescent="0.25">
      <c r="A128" s="43">
        <v>42216</v>
      </c>
      <c r="B128" s="43"/>
      <c r="C128" s="22" t="s">
        <v>154</v>
      </c>
      <c r="D128" s="23">
        <v>5</v>
      </c>
      <c r="E128" s="23">
        <v>9</v>
      </c>
      <c r="F128" s="38">
        <f t="shared" si="9"/>
        <v>0.55555555555555558</v>
      </c>
      <c r="G128" s="23">
        <v>0</v>
      </c>
      <c r="H128" s="23">
        <v>0</v>
      </c>
      <c r="I128" s="38">
        <f t="shared" si="10"/>
        <v>0</v>
      </c>
      <c r="J128" s="23">
        <v>2</v>
      </c>
      <c r="K128" s="23">
        <v>5</v>
      </c>
      <c r="L128" s="38">
        <f t="shared" si="11"/>
        <v>0.4</v>
      </c>
      <c r="M128" s="23">
        <v>8</v>
      </c>
      <c r="N128" s="23">
        <v>1</v>
      </c>
      <c r="O128" s="23">
        <v>1</v>
      </c>
      <c r="P128" s="23">
        <v>5</v>
      </c>
      <c r="Q128" s="23">
        <v>2</v>
      </c>
      <c r="R128" s="25">
        <v>12</v>
      </c>
    </row>
    <row r="129" spans="1:18" x14ac:dyDescent="0.25">
      <c r="A129" s="77">
        <v>42217</v>
      </c>
      <c r="B129" s="43"/>
      <c r="C129" s="47" t="s">
        <v>154</v>
      </c>
      <c r="D129" s="23">
        <v>5</v>
      </c>
      <c r="E129" s="23">
        <v>7</v>
      </c>
      <c r="F129" s="38">
        <f t="shared" si="9"/>
        <v>0.7142857142857143</v>
      </c>
      <c r="G129" s="23">
        <v>0</v>
      </c>
      <c r="H129" s="23">
        <v>0</v>
      </c>
      <c r="I129" s="38">
        <f t="shared" si="10"/>
        <v>0</v>
      </c>
      <c r="J129" s="23">
        <v>9</v>
      </c>
      <c r="K129" s="23">
        <v>10</v>
      </c>
      <c r="L129" s="38">
        <f t="shared" si="11"/>
        <v>0.9</v>
      </c>
      <c r="M129" s="23">
        <v>6</v>
      </c>
      <c r="N129" s="23">
        <v>1</v>
      </c>
      <c r="O129" s="23">
        <v>0</v>
      </c>
      <c r="P129" s="23">
        <v>2</v>
      </c>
      <c r="Q129" s="23">
        <v>1</v>
      </c>
      <c r="R129" s="25">
        <v>19</v>
      </c>
    </row>
    <row r="130" spans="1:18" x14ac:dyDescent="0.25">
      <c r="A130" s="77">
        <v>42218</v>
      </c>
      <c r="B130" s="43"/>
      <c r="C130" s="47" t="s">
        <v>86</v>
      </c>
      <c r="D130" s="23">
        <v>0</v>
      </c>
      <c r="E130" s="23">
        <v>1</v>
      </c>
      <c r="F130" s="38">
        <f t="shared" ref="F130:F157" si="12">IF(E130=0,0,D130/E130)</f>
        <v>0</v>
      </c>
      <c r="G130" s="23">
        <v>0</v>
      </c>
      <c r="H130" s="23">
        <v>1</v>
      </c>
      <c r="I130" s="38">
        <f t="shared" ref="I130:I157" si="13">IF(H130=0,0,G130/H130)</f>
        <v>0</v>
      </c>
      <c r="J130" s="23">
        <v>1</v>
      </c>
      <c r="K130" s="23">
        <v>2</v>
      </c>
      <c r="L130" s="38">
        <f t="shared" ref="L130:L157" si="14">IF(K130=0,0,J130/K130)</f>
        <v>0.5</v>
      </c>
      <c r="M130" s="23">
        <v>5</v>
      </c>
      <c r="N130" s="23">
        <v>4</v>
      </c>
      <c r="O130" s="23">
        <v>1</v>
      </c>
      <c r="P130" s="23">
        <v>3</v>
      </c>
      <c r="Q130" s="23">
        <v>0</v>
      </c>
      <c r="R130" s="25">
        <v>1</v>
      </c>
    </row>
    <row r="131" spans="1:18" x14ac:dyDescent="0.25">
      <c r="A131" s="77">
        <v>42218</v>
      </c>
      <c r="B131" s="43"/>
      <c r="C131" s="47" t="s">
        <v>57</v>
      </c>
      <c r="D131" s="23">
        <v>4</v>
      </c>
      <c r="E131" s="23">
        <v>8</v>
      </c>
      <c r="F131" s="38">
        <f t="shared" si="12"/>
        <v>0.5</v>
      </c>
      <c r="G131" s="23">
        <v>0</v>
      </c>
      <c r="H131" s="23">
        <v>0</v>
      </c>
      <c r="I131" s="38">
        <f t="shared" si="13"/>
        <v>0</v>
      </c>
      <c r="J131" s="23">
        <v>0</v>
      </c>
      <c r="K131" s="23">
        <v>2</v>
      </c>
      <c r="L131" s="38">
        <f t="shared" si="14"/>
        <v>0</v>
      </c>
      <c r="M131" s="23">
        <v>5</v>
      </c>
      <c r="N131" s="23">
        <v>1</v>
      </c>
      <c r="O131" s="23">
        <v>1</v>
      </c>
      <c r="P131" s="23">
        <v>2</v>
      </c>
      <c r="Q131" s="23">
        <v>0</v>
      </c>
      <c r="R131" s="25">
        <v>8</v>
      </c>
    </row>
    <row r="132" spans="1:18" x14ac:dyDescent="0.25">
      <c r="A132" s="73">
        <v>42218</v>
      </c>
      <c r="B132" s="20"/>
      <c r="C132" s="20" t="s">
        <v>56</v>
      </c>
      <c r="D132" s="16">
        <v>4</v>
      </c>
      <c r="E132" s="16">
        <v>10</v>
      </c>
      <c r="F132" s="75">
        <f t="shared" si="12"/>
        <v>0.4</v>
      </c>
      <c r="G132" s="16">
        <v>0</v>
      </c>
      <c r="H132" s="16">
        <v>1</v>
      </c>
      <c r="I132" s="75">
        <f t="shared" si="13"/>
        <v>0</v>
      </c>
      <c r="J132" s="16">
        <v>0</v>
      </c>
      <c r="K132" s="16">
        <v>0</v>
      </c>
      <c r="L132" s="75">
        <f t="shared" si="14"/>
        <v>0</v>
      </c>
      <c r="M132" s="16">
        <v>5</v>
      </c>
      <c r="N132" s="16">
        <v>10</v>
      </c>
      <c r="O132" s="16">
        <v>1</v>
      </c>
      <c r="P132" s="16">
        <v>1</v>
      </c>
      <c r="Q132" s="16">
        <v>0</v>
      </c>
      <c r="R132" s="16">
        <v>8</v>
      </c>
    </row>
    <row r="133" spans="1:18" x14ac:dyDescent="0.25">
      <c r="A133" s="73">
        <v>42218</v>
      </c>
      <c r="B133" s="20"/>
      <c r="C133" s="20" t="s">
        <v>89</v>
      </c>
      <c r="D133" s="16">
        <v>10</v>
      </c>
      <c r="E133" s="16">
        <v>16</v>
      </c>
      <c r="F133" s="75">
        <f t="shared" si="12"/>
        <v>0.625</v>
      </c>
      <c r="G133" s="16">
        <v>0</v>
      </c>
      <c r="H133" s="16">
        <v>0</v>
      </c>
      <c r="I133" s="75">
        <f t="shared" si="13"/>
        <v>0</v>
      </c>
      <c r="J133" s="16">
        <v>0</v>
      </c>
      <c r="K133" s="16">
        <v>0</v>
      </c>
      <c r="L133" s="75">
        <f t="shared" si="14"/>
        <v>0</v>
      </c>
      <c r="M133" s="16">
        <v>8</v>
      </c>
      <c r="N133" s="16">
        <v>1</v>
      </c>
      <c r="O133" s="16">
        <v>0</v>
      </c>
      <c r="P133" s="16">
        <v>2</v>
      </c>
      <c r="Q133" s="16">
        <v>1</v>
      </c>
      <c r="R133" s="16">
        <v>20</v>
      </c>
    </row>
    <row r="134" spans="1:18" x14ac:dyDescent="0.25">
      <c r="A134" s="73">
        <v>42218</v>
      </c>
      <c r="B134" s="20"/>
      <c r="C134" s="20" t="s">
        <v>90</v>
      </c>
      <c r="D134" s="16">
        <v>0</v>
      </c>
      <c r="E134" s="16">
        <v>3</v>
      </c>
      <c r="F134" s="75">
        <f t="shared" si="12"/>
        <v>0</v>
      </c>
      <c r="G134" s="16">
        <v>0</v>
      </c>
      <c r="H134" s="16">
        <v>0</v>
      </c>
      <c r="I134" s="75">
        <f t="shared" si="13"/>
        <v>0</v>
      </c>
      <c r="J134" s="16">
        <v>3</v>
      </c>
      <c r="K134" s="16">
        <v>4</v>
      </c>
      <c r="L134" s="75">
        <f t="shared" si="14"/>
        <v>0.75</v>
      </c>
      <c r="M134" s="16">
        <v>2</v>
      </c>
      <c r="N134" s="16">
        <v>5</v>
      </c>
      <c r="O134" s="16">
        <v>1</v>
      </c>
      <c r="P134" s="16">
        <v>2</v>
      </c>
      <c r="Q134" s="16">
        <v>0</v>
      </c>
      <c r="R134" s="16">
        <v>3</v>
      </c>
    </row>
    <row r="135" spans="1:18" x14ac:dyDescent="0.25">
      <c r="A135" s="73">
        <v>42220</v>
      </c>
      <c r="B135" s="20"/>
      <c r="C135" s="15" t="s">
        <v>57</v>
      </c>
      <c r="D135" s="16">
        <v>4</v>
      </c>
      <c r="E135" s="16">
        <v>7</v>
      </c>
      <c r="F135" s="76">
        <f t="shared" si="12"/>
        <v>0.5714285714285714</v>
      </c>
      <c r="G135" s="16">
        <v>0</v>
      </c>
      <c r="H135" s="16">
        <v>0</v>
      </c>
      <c r="I135" s="76">
        <f t="shared" si="13"/>
        <v>0</v>
      </c>
      <c r="J135" s="16">
        <v>2</v>
      </c>
      <c r="K135" s="16">
        <v>2</v>
      </c>
      <c r="L135" s="76">
        <f t="shared" si="14"/>
        <v>1</v>
      </c>
      <c r="M135" s="16">
        <v>4</v>
      </c>
      <c r="N135" s="16">
        <v>2</v>
      </c>
      <c r="O135" s="16">
        <v>1</v>
      </c>
      <c r="P135" s="16">
        <v>3</v>
      </c>
      <c r="Q135" s="16">
        <v>1</v>
      </c>
      <c r="R135" s="16">
        <v>10</v>
      </c>
    </row>
    <row r="136" spans="1:18" x14ac:dyDescent="0.25">
      <c r="A136" s="73">
        <v>42220</v>
      </c>
      <c r="B136" s="20"/>
      <c r="C136" s="15" t="s">
        <v>33</v>
      </c>
      <c r="D136" s="16">
        <v>7</v>
      </c>
      <c r="E136" s="16">
        <v>11</v>
      </c>
      <c r="F136" s="76">
        <f t="shared" si="12"/>
        <v>0.63636363636363635</v>
      </c>
      <c r="G136" s="16">
        <v>1</v>
      </c>
      <c r="H136" s="16">
        <v>5</v>
      </c>
      <c r="I136" s="76">
        <f t="shared" si="13"/>
        <v>0.2</v>
      </c>
      <c r="J136" s="16">
        <v>0</v>
      </c>
      <c r="K136" s="16">
        <v>0</v>
      </c>
      <c r="L136" s="76">
        <f t="shared" si="14"/>
        <v>0</v>
      </c>
      <c r="M136" s="16">
        <v>1</v>
      </c>
      <c r="N136" s="16">
        <v>0</v>
      </c>
      <c r="O136" s="16">
        <v>2</v>
      </c>
      <c r="P136" s="16">
        <v>2</v>
      </c>
      <c r="Q136" s="16">
        <v>0</v>
      </c>
      <c r="R136" s="16">
        <v>15</v>
      </c>
    </row>
    <row r="137" spans="1:18" x14ac:dyDescent="0.25">
      <c r="A137" s="73">
        <v>42220</v>
      </c>
      <c r="B137" s="20"/>
      <c r="C137" s="15" t="s">
        <v>154</v>
      </c>
      <c r="D137" s="16">
        <v>3</v>
      </c>
      <c r="E137" s="16">
        <v>7</v>
      </c>
      <c r="F137" s="76">
        <f t="shared" si="12"/>
        <v>0.42857142857142855</v>
      </c>
      <c r="G137" s="16">
        <v>0</v>
      </c>
      <c r="H137" s="16">
        <v>0</v>
      </c>
      <c r="I137" s="76">
        <f t="shared" si="13"/>
        <v>0</v>
      </c>
      <c r="J137" s="16">
        <v>2</v>
      </c>
      <c r="K137" s="16">
        <v>3</v>
      </c>
      <c r="L137" s="76">
        <f t="shared" si="14"/>
        <v>0.66666666666666663</v>
      </c>
      <c r="M137" s="16">
        <v>3</v>
      </c>
      <c r="N137" s="16">
        <v>1</v>
      </c>
      <c r="O137" s="16">
        <v>0</v>
      </c>
      <c r="P137" s="16">
        <v>1</v>
      </c>
      <c r="Q137" s="16">
        <v>2</v>
      </c>
      <c r="R137" s="16">
        <v>8</v>
      </c>
    </row>
    <row r="138" spans="1:18" x14ac:dyDescent="0.25">
      <c r="A138" s="73">
        <v>42220</v>
      </c>
      <c r="B138" s="20"/>
      <c r="C138" s="15" t="s">
        <v>56</v>
      </c>
      <c r="D138" s="16">
        <v>3</v>
      </c>
      <c r="E138" s="16">
        <v>4</v>
      </c>
      <c r="F138" s="76">
        <f t="shared" si="12"/>
        <v>0.75</v>
      </c>
      <c r="G138" s="16">
        <v>1</v>
      </c>
      <c r="H138" s="16">
        <v>1</v>
      </c>
      <c r="I138" s="76">
        <f t="shared" si="13"/>
        <v>1</v>
      </c>
      <c r="J138" s="16">
        <v>0</v>
      </c>
      <c r="K138" s="16">
        <v>0</v>
      </c>
      <c r="L138" s="76">
        <f t="shared" si="14"/>
        <v>0</v>
      </c>
      <c r="M138" s="16">
        <v>1</v>
      </c>
      <c r="N138" s="16">
        <v>7</v>
      </c>
      <c r="O138" s="16">
        <v>2</v>
      </c>
      <c r="P138" s="16">
        <v>2</v>
      </c>
      <c r="Q138" s="16">
        <v>1</v>
      </c>
      <c r="R138" s="16">
        <v>7</v>
      </c>
    </row>
    <row r="139" spans="1:18" x14ac:dyDescent="0.25">
      <c r="A139" s="73">
        <v>42220</v>
      </c>
      <c r="B139" s="20"/>
      <c r="C139" s="15" t="s">
        <v>89</v>
      </c>
      <c r="D139" s="16">
        <v>7</v>
      </c>
      <c r="E139" s="16">
        <v>11</v>
      </c>
      <c r="F139" s="76">
        <f t="shared" si="12"/>
        <v>0.63636363636363635</v>
      </c>
      <c r="G139" s="16">
        <v>0</v>
      </c>
      <c r="H139" s="16">
        <v>0</v>
      </c>
      <c r="I139" s="76">
        <f t="shared" si="13"/>
        <v>0</v>
      </c>
      <c r="J139" s="16">
        <v>0</v>
      </c>
      <c r="K139" s="16">
        <v>0</v>
      </c>
      <c r="L139" s="76">
        <f t="shared" si="14"/>
        <v>0</v>
      </c>
      <c r="M139" s="16">
        <v>13</v>
      </c>
      <c r="N139" s="16">
        <v>3</v>
      </c>
      <c r="O139" s="16">
        <v>1</v>
      </c>
      <c r="P139" s="16">
        <v>0</v>
      </c>
      <c r="Q139" s="16">
        <v>0</v>
      </c>
      <c r="R139" s="16">
        <v>14</v>
      </c>
    </row>
    <row r="140" spans="1:18" x14ac:dyDescent="0.25">
      <c r="A140" s="73">
        <v>42221</v>
      </c>
      <c r="B140" s="20"/>
      <c r="C140" s="15" t="s">
        <v>33</v>
      </c>
      <c r="D140" s="16">
        <v>11</v>
      </c>
      <c r="E140" s="16">
        <v>20</v>
      </c>
      <c r="F140" s="76">
        <f t="shared" si="12"/>
        <v>0.55000000000000004</v>
      </c>
      <c r="G140" s="16">
        <v>1</v>
      </c>
      <c r="H140" s="16">
        <v>6</v>
      </c>
      <c r="I140" s="76">
        <f t="shared" si="13"/>
        <v>0.16666666666666666</v>
      </c>
      <c r="J140" s="16">
        <v>0</v>
      </c>
      <c r="K140" s="16">
        <v>0</v>
      </c>
      <c r="L140" s="76">
        <f t="shared" si="14"/>
        <v>0</v>
      </c>
      <c r="M140" s="16">
        <v>2</v>
      </c>
      <c r="N140" s="16">
        <v>0</v>
      </c>
      <c r="O140" s="16">
        <v>1</v>
      </c>
      <c r="P140" s="16">
        <v>1</v>
      </c>
      <c r="Q140" s="16">
        <v>1</v>
      </c>
      <c r="R140" s="16">
        <v>23</v>
      </c>
    </row>
    <row r="141" spans="1:18" x14ac:dyDescent="0.25">
      <c r="A141" s="73">
        <v>42221</v>
      </c>
      <c r="B141" s="20"/>
      <c r="C141" s="15" t="s">
        <v>72</v>
      </c>
      <c r="D141" s="16">
        <v>0</v>
      </c>
      <c r="E141" s="16">
        <v>5</v>
      </c>
      <c r="F141" s="76">
        <f t="shared" si="12"/>
        <v>0</v>
      </c>
      <c r="G141" s="16">
        <v>0</v>
      </c>
      <c r="H141" s="16">
        <v>1</v>
      </c>
      <c r="I141" s="76">
        <f t="shared" si="13"/>
        <v>0</v>
      </c>
      <c r="J141" s="16">
        <v>0</v>
      </c>
      <c r="K141" s="16">
        <v>0</v>
      </c>
      <c r="L141" s="76">
        <f t="shared" si="14"/>
        <v>0</v>
      </c>
      <c r="M141" s="16">
        <v>2</v>
      </c>
      <c r="N141" s="16">
        <v>0</v>
      </c>
      <c r="O141" s="16">
        <v>1</v>
      </c>
      <c r="P141" s="16">
        <v>2</v>
      </c>
      <c r="Q141" s="16">
        <v>0</v>
      </c>
      <c r="R141" s="16">
        <v>0</v>
      </c>
    </row>
    <row r="142" spans="1:18" x14ac:dyDescent="0.25">
      <c r="A142" s="73">
        <v>42221</v>
      </c>
      <c r="B142" s="20"/>
      <c r="C142" s="15" t="s">
        <v>57</v>
      </c>
      <c r="D142" s="16">
        <v>8</v>
      </c>
      <c r="E142" s="16">
        <v>17</v>
      </c>
      <c r="F142" s="76">
        <f t="shared" si="12"/>
        <v>0.47058823529411764</v>
      </c>
      <c r="G142" s="16">
        <v>0</v>
      </c>
      <c r="H142" s="16">
        <v>0</v>
      </c>
      <c r="I142" s="76">
        <f t="shared" si="13"/>
        <v>0</v>
      </c>
      <c r="J142" s="16">
        <v>1</v>
      </c>
      <c r="K142" s="16">
        <v>2</v>
      </c>
      <c r="L142" s="76">
        <f t="shared" si="14"/>
        <v>0.5</v>
      </c>
      <c r="M142" s="16">
        <v>7</v>
      </c>
      <c r="N142" s="16">
        <v>1</v>
      </c>
      <c r="O142" s="16">
        <v>1</v>
      </c>
      <c r="P142" s="16">
        <v>2</v>
      </c>
      <c r="Q142" s="16">
        <v>0</v>
      </c>
      <c r="R142" s="16">
        <v>17</v>
      </c>
    </row>
    <row r="143" spans="1:18" x14ac:dyDescent="0.25">
      <c r="A143" s="73">
        <v>42222</v>
      </c>
      <c r="B143" s="20"/>
      <c r="C143" s="15" t="s">
        <v>89</v>
      </c>
      <c r="D143" s="16">
        <v>3</v>
      </c>
      <c r="E143" s="16">
        <v>6</v>
      </c>
      <c r="F143" s="76">
        <f t="shared" si="12"/>
        <v>0.5</v>
      </c>
      <c r="G143" s="16">
        <v>0</v>
      </c>
      <c r="H143" s="16">
        <v>0</v>
      </c>
      <c r="I143" s="76">
        <f t="shared" si="13"/>
        <v>0</v>
      </c>
      <c r="J143" s="16">
        <v>2</v>
      </c>
      <c r="K143" s="16">
        <v>2</v>
      </c>
      <c r="L143" s="76">
        <f t="shared" si="14"/>
        <v>1</v>
      </c>
      <c r="M143" s="16">
        <v>6</v>
      </c>
      <c r="N143" s="16">
        <v>1</v>
      </c>
      <c r="O143" s="16">
        <v>0</v>
      </c>
      <c r="P143" s="16">
        <v>1</v>
      </c>
      <c r="Q143" s="16">
        <v>2</v>
      </c>
      <c r="R143" s="16">
        <v>8</v>
      </c>
    </row>
    <row r="144" spans="1:18" x14ac:dyDescent="0.25">
      <c r="A144" s="73">
        <v>42223</v>
      </c>
      <c r="B144" s="20"/>
      <c r="C144" s="15" t="s">
        <v>90</v>
      </c>
      <c r="D144" s="16">
        <v>1</v>
      </c>
      <c r="E144" s="16">
        <v>3</v>
      </c>
      <c r="F144" s="76">
        <f t="shared" si="12"/>
        <v>0.33333333333333331</v>
      </c>
      <c r="G144" s="16">
        <v>0</v>
      </c>
      <c r="H144" s="16">
        <v>1</v>
      </c>
      <c r="I144" s="76">
        <f t="shared" si="13"/>
        <v>0</v>
      </c>
      <c r="J144" s="16">
        <v>2</v>
      </c>
      <c r="K144" s="16">
        <v>2</v>
      </c>
      <c r="L144" s="76">
        <f t="shared" si="14"/>
        <v>1</v>
      </c>
      <c r="M144" s="16">
        <v>2</v>
      </c>
      <c r="N144" s="16">
        <v>1</v>
      </c>
      <c r="O144" s="16">
        <v>2</v>
      </c>
      <c r="P144" s="16">
        <v>1</v>
      </c>
      <c r="Q144" s="16">
        <v>0</v>
      </c>
      <c r="R144" s="16">
        <v>4</v>
      </c>
    </row>
    <row r="145" spans="1:18" x14ac:dyDescent="0.25">
      <c r="A145" s="73">
        <v>42223</v>
      </c>
      <c r="B145" s="20"/>
      <c r="C145" s="15" t="s">
        <v>154</v>
      </c>
      <c r="D145" s="16">
        <v>5</v>
      </c>
      <c r="E145" s="16">
        <v>11</v>
      </c>
      <c r="F145" s="76">
        <f t="shared" si="12"/>
        <v>0.45454545454545453</v>
      </c>
      <c r="G145" s="16">
        <v>0</v>
      </c>
      <c r="H145" s="16">
        <v>0</v>
      </c>
      <c r="I145" s="76">
        <f t="shared" si="13"/>
        <v>0</v>
      </c>
      <c r="J145" s="16">
        <v>1</v>
      </c>
      <c r="K145" s="16">
        <v>1</v>
      </c>
      <c r="L145" s="76">
        <f t="shared" si="14"/>
        <v>1</v>
      </c>
      <c r="M145" s="16">
        <v>5</v>
      </c>
      <c r="N145" s="16">
        <v>0</v>
      </c>
      <c r="O145" s="16">
        <v>1</v>
      </c>
      <c r="P145" s="16">
        <v>1</v>
      </c>
      <c r="Q145" s="16">
        <v>0</v>
      </c>
      <c r="R145" s="16">
        <v>11</v>
      </c>
    </row>
    <row r="146" spans="1:18" x14ac:dyDescent="0.25">
      <c r="A146" s="73">
        <v>42223</v>
      </c>
      <c r="B146" s="20"/>
      <c r="C146" s="15" t="s">
        <v>56</v>
      </c>
      <c r="D146" s="16">
        <v>5</v>
      </c>
      <c r="E146" s="16">
        <v>9</v>
      </c>
      <c r="F146" s="76">
        <f t="shared" si="12"/>
        <v>0.55555555555555558</v>
      </c>
      <c r="G146" s="16">
        <v>1</v>
      </c>
      <c r="H146" s="16">
        <v>2</v>
      </c>
      <c r="I146" s="76">
        <f t="shared" si="13"/>
        <v>0.5</v>
      </c>
      <c r="J146" s="16">
        <v>2</v>
      </c>
      <c r="K146" s="16">
        <v>3</v>
      </c>
      <c r="L146" s="76">
        <f t="shared" si="14"/>
        <v>0.66666666666666663</v>
      </c>
      <c r="M146" s="16">
        <v>2</v>
      </c>
      <c r="N146" s="16">
        <v>2</v>
      </c>
      <c r="O146" s="16">
        <v>1</v>
      </c>
      <c r="P146" s="16">
        <v>4</v>
      </c>
      <c r="Q146" s="16">
        <v>0</v>
      </c>
      <c r="R146" s="16">
        <v>13</v>
      </c>
    </row>
    <row r="147" spans="1:18" x14ac:dyDescent="0.25">
      <c r="A147" s="73">
        <v>42224</v>
      </c>
      <c r="B147" s="20"/>
      <c r="C147" s="15" t="s">
        <v>57</v>
      </c>
      <c r="D147" s="16">
        <v>4</v>
      </c>
      <c r="E147" s="16">
        <v>7</v>
      </c>
      <c r="F147" s="76">
        <f t="shared" si="12"/>
        <v>0.5714285714285714</v>
      </c>
      <c r="G147" s="16">
        <v>0</v>
      </c>
      <c r="H147" s="16">
        <v>0</v>
      </c>
      <c r="I147" s="76">
        <f t="shared" si="13"/>
        <v>0</v>
      </c>
      <c r="J147" s="16">
        <v>6</v>
      </c>
      <c r="K147" s="16">
        <v>6</v>
      </c>
      <c r="L147" s="76">
        <f t="shared" si="14"/>
        <v>1</v>
      </c>
      <c r="M147" s="16">
        <v>7</v>
      </c>
      <c r="N147" s="16">
        <v>3</v>
      </c>
      <c r="O147" s="16">
        <v>1</v>
      </c>
      <c r="P147" s="16">
        <v>0</v>
      </c>
      <c r="Q147" s="16">
        <v>0</v>
      </c>
      <c r="R147" s="16">
        <v>14</v>
      </c>
    </row>
    <row r="148" spans="1:18" x14ac:dyDescent="0.25">
      <c r="A148" s="73">
        <v>42224</v>
      </c>
      <c r="B148" s="20"/>
      <c r="C148" s="15" t="s">
        <v>33</v>
      </c>
      <c r="D148" s="16">
        <v>11</v>
      </c>
      <c r="E148" s="16">
        <v>18</v>
      </c>
      <c r="F148" s="76">
        <f t="shared" si="12"/>
        <v>0.61111111111111116</v>
      </c>
      <c r="G148" s="16">
        <v>2</v>
      </c>
      <c r="H148" s="16">
        <v>5</v>
      </c>
      <c r="I148" s="76">
        <f t="shared" si="13"/>
        <v>0.4</v>
      </c>
      <c r="J148" s="16">
        <v>8</v>
      </c>
      <c r="K148" s="16">
        <v>8</v>
      </c>
      <c r="L148" s="76">
        <f t="shared" si="14"/>
        <v>1</v>
      </c>
      <c r="M148" s="16">
        <v>2</v>
      </c>
      <c r="N148" s="16">
        <v>5</v>
      </c>
      <c r="O148" s="16">
        <v>2</v>
      </c>
      <c r="P148" s="16">
        <v>1</v>
      </c>
      <c r="Q148" s="16">
        <v>0</v>
      </c>
      <c r="R148" s="16">
        <v>32</v>
      </c>
    </row>
    <row r="149" spans="1:18" x14ac:dyDescent="0.25">
      <c r="A149" s="73">
        <v>42224</v>
      </c>
      <c r="B149" s="20"/>
      <c r="C149" s="15" t="s">
        <v>72</v>
      </c>
      <c r="D149" s="16">
        <v>3</v>
      </c>
      <c r="E149" s="16">
        <v>9</v>
      </c>
      <c r="F149" s="76">
        <f t="shared" si="12"/>
        <v>0.33333333333333331</v>
      </c>
      <c r="G149" s="16">
        <v>0</v>
      </c>
      <c r="H149" s="16">
        <v>3</v>
      </c>
      <c r="I149" s="76">
        <f t="shared" si="13"/>
        <v>0</v>
      </c>
      <c r="J149" s="16">
        <v>1</v>
      </c>
      <c r="K149" s="16">
        <v>3</v>
      </c>
      <c r="L149" s="76">
        <f t="shared" si="14"/>
        <v>0.33333333333333331</v>
      </c>
      <c r="M149" s="16">
        <v>4</v>
      </c>
      <c r="N149" s="16">
        <v>2</v>
      </c>
      <c r="O149" s="16">
        <v>1</v>
      </c>
      <c r="P149" s="16">
        <v>0</v>
      </c>
      <c r="Q149" s="16">
        <v>0</v>
      </c>
      <c r="R149" s="16">
        <v>7</v>
      </c>
    </row>
    <row r="150" spans="1:18" x14ac:dyDescent="0.25">
      <c r="A150" s="73">
        <v>42224</v>
      </c>
      <c r="B150" s="20"/>
      <c r="C150" s="15" t="s">
        <v>86</v>
      </c>
      <c r="D150" s="16">
        <v>7</v>
      </c>
      <c r="E150" s="16">
        <v>15</v>
      </c>
      <c r="F150" s="76">
        <f t="shared" si="12"/>
        <v>0.46666666666666667</v>
      </c>
      <c r="G150" s="16">
        <v>0</v>
      </c>
      <c r="H150" s="16">
        <v>3</v>
      </c>
      <c r="I150" s="76">
        <f t="shared" si="13"/>
        <v>0</v>
      </c>
      <c r="J150" s="16">
        <v>2</v>
      </c>
      <c r="K150" s="16">
        <v>2</v>
      </c>
      <c r="L150" s="76">
        <f t="shared" si="14"/>
        <v>1</v>
      </c>
      <c r="M150" s="16">
        <v>4</v>
      </c>
      <c r="N150" s="16">
        <v>3</v>
      </c>
      <c r="O150" s="16">
        <v>0</v>
      </c>
      <c r="P150" s="16">
        <v>4</v>
      </c>
      <c r="Q150" s="16">
        <v>1</v>
      </c>
      <c r="R150" s="16">
        <v>16</v>
      </c>
    </row>
    <row r="151" spans="1:18" x14ac:dyDescent="0.25">
      <c r="A151" s="71">
        <v>42225</v>
      </c>
      <c r="B151" s="20"/>
      <c r="C151" s="15" t="s">
        <v>56</v>
      </c>
      <c r="D151" s="16">
        <v>4</v>
      </c>
      <c r="E151" s="16">
        <v>9</v>
      </c>
      <c r="F151" s="76">
        <f t="shared" si="12"/>
        <v>0.44444444444444442</v>
      </c>
      <c r="G151" s="16">
        <v>1</v>
      </c>
      <c r="H151" s="16">
        <v>3</v>
      </c>
      <c r="I151" s="76">
        <f t="shared" si="13"/>
        <v>0.33333333333333331</v>
      </c>
      <c r="J151" s="16">
        <v>2</v>
      </c>
      <c r="K151" s="16">
        <v>2</v>
      </c>
      <c r="L151" s="76">
        <f t="shared" si="14"/>
        <v>1</v>
      </c>
      <c r="M151" s="16">
        <v>2</v>
      </c>
      <c r="N151" s="16">
        <v>7</v>
      </c>
      <c r="O151" s="16">
        <v>2</v>
      </c>
      <c r="P151" s="16">
        <v>1</v>
      </c>
      <c r="Q151" s="16">
        <v>0</v>
      </c>
      <c r="R151" s="16">
        <v>11</v>
      </c>
    </row>
    <row r="152" spans="1:18" x14ac:dyDescent="0.25">
      <c r="A152" s="71">
        <v>42225</v>
      </c>
      <c r="B152" s="20"/>
      <c r="C152" s="15" t="s">
        <v>154</v>
      </c>
      <c r="D152" s="16">
        <v>5</v>
      </c>
      <c r="E152" s="16">
        <v>9</v>
      </c>
      <c r="F152" s="76">
        <f t="shared" si="12"/>
        <v>0.55555555555555558</v>
      </c>
      <c r="G152" s="16">
        <v>0</v>
      </c>
      <c r="H152" s="16">
        <v>0</v>
      </c>
      <c r="I152" s="76">
        <f t="shared" si="13"/>
        <v>0</v>
      </c>
      <c r="J152" s="16">
        <v>5</v>
      </c>
      <c r="K152" s="16">
        <v>6</v>
      </c>
      <c r="L152" s="76">
        <f t="shared" si="14"/>
        <v>0.83333333333333337</v>
      </c>
      <c r="M152" s="16">
        <v>9</v>
      </c>
      <c r="N152" s="16">
        <v>3</v>
      </c>
      <c r="O152" s="16">
        <v>0</v>
      </c>
      <c r="P152" s="16">
        <v>0</v>
      </c>
      <c r="Q152" s="16">
        <v>1</v>
      </c>
      <c r="R152" s="16">
        <v>15</v>
      </c>
    </row>
    <row r="153" spans="1:18" x14ac:dyDescent="0.25">
      <c r="A153" s="71">
        <v>42225</v>
      </c>
      <c r="B153" s="20"/>
      <c r="C153" s="15" t="s">
        <v>89</v>
      </c>
      <c r="D153" s="16">
        <v>6</v>
      </c>
      <c r="E153" s="16">
        <v>11</v>
      </c>
      <c r="F153" s="76">
        <f t="shared" si="12"/>
        <v>0.54545454545454541</v>
      </c>
      <c r="G153" s="16">
        <v>0</v>
      </c>
      <c r="H153" s="16">
        <v>0</v>
      </c>
      <c r="I153" s="76">
        <f t="shared" si="13"/>
        <v>0</v>
      </c>
      <c r="J153" s="16">
        <v>1</v>
      </c>
      <c r="K153" s="16">
        <v>2</v>
      </c>
      <c r="L153" s="76">
        <f t="shared" si="14"/>
        <v>0.5</v>
      </c>
      <c r="M153" s="16">
        <v>8</v>
      </c>
      <c r="N153" s="16">
        <v>0</v>
      </c>
      <c r="O153" s="16">
        <v>0</v>
      </c>
      <c r="P153" s="16">
        <v>3</v>
      </c>
      <c r="Q153" s="16">
        <v>1</v>
      </c>
      <c r="R153" s="16">
        <v>13</v>
      </c>
    </row>
    <row r="154" spans="1:18" x14ac:dyDescent="0.25">
      <c r="A154" s="79">
        <v>42227</v>
      </c>
      <c r="B154" s="60"/>
      <c r="C154" s="59" t="s">
        <v>57</v>
      </c>
      <c r="D154" s="57">
        <v>5</v>
      </c>
      <c r="E154" s="57">
        <v>11</v>
      </c>
      <c r="F154" s="78">
        <f t="shared" si="12"/>
        <v>0.45454545454545453</v>
      </c>
      <c r="G154" s="57">
        <v>0</v>
      </c>
      <c r="H154" s="57">
        <v>0</v>
      </c>
      <c r="I154" s="78">
        <f t="shared" si="13"/>
        <v>0</v>
      </c>
      <c r="J154" s="57">
        <v>0</v>
      </c>
      <c r="K154" s="57">
        <v>0</v>
      </c>
      <c r="L154" s="78">
        <f t="shared" si="14"/>
        <v>0</v>
      </c>
      <c r="M154" s="57">
        <v>10</v>
      </c>
      <c r="N154" s="57">
        <v>3</v>
      </c>
      <c r="O154" s="57">
        <v>1</v>
      </c>
      <c r="P154" s="57">
        <v>1</v>
      </c>
      <c r="Q154" s="57">
        <v>0</v>
      </c>
      <c r="R154" s="57">
        <v>10</v>
      </c>
    </row>
    <row r="155" spans="1:18" x14ac:dyDescent="0.25">
      <c r="A155" s="79">
        <v>42227</v>
      </c>
      <c r="B155" s="60"/>
      <c r="C155" s="59" t="s">
        <v>56</v>
      </c>
      <c r="D155" s="57">
        <v>4</v>
      </c>
      <c r="E155" s="57">
        <v>11</v>
      </c>
      <c r="F155" s="78">
        <f t="shared" si="12"/>
        <v>0.36363636363636365</v>
      </c>
      <c r="G155" s="57">
        <v>0</v>
      </c>
      <c r="H155" s="57">
        <v>2</v>
      </c>
      <c r="I155" s="78">
        <f t="shared" si="13"/>
        <v>0</v>
      </c>
      <c r="J155" s="57">
        <v>0</v>
      </c>
      <c r="K155" s="57">
        <v>1</v>
      </c>
      <c r="L155" s="78">
        <f t="shared" si="14"/>
        <v>0</v>
      </c>
      <c r="M155" s="57">
        <v>5</v>
      </c>
      <c r="N155" s="57">
        <v>9</v>
      </c>
      <c r="O155" s="57">
        <v>3</v>
      </c>
      <c r="P155" s="57">
        <v>3</v>
      </c>
      <c r="Q155" s="57">
        <v>1</v>
      </c>
      <c r="R155" s="57">
        <v>8</v>
      </c>
    </row>
    <row r="156" spans="1:18" x14ac:dyDescent="0.25">
      <c r="A156" s="79">
        <v>42227</v>
      </c>
      <c r="B156" s="60"/>
      <c r="C156" s="59" t="s">
        <v>154</v>
      </c>
      <c r="D156" s="57">
        <v>7</v>
      </c>
      <c r="E156" s="57">
        <v>11</v>
      </c>
      <c r="F156" s="78">
        <f t="shared" si="12"/>
        <v>0.63636363636363635</v>
      </c>
      <c r="G156" s="57">
        <v>0</v>
      </c>
      <c r="H156" s="57">
        <v>0</v>
      </c>
      <c r="I156" s="78">
        <f t="shared" si="13"/>
        <v>0</v>
      </c>
      <c r="J156" s="57">
        <v>2</v>
      </c>
      <c r="K156" s="57">
        <v>5</v>
      </c>
      <c r="L156" s="78">
        <f t="shared" si="14"/>
        <v>0.4</v>
      </c>
      <c r="M156" s="57">
        <v>4</v>
      </c>
      <c r="N156" s="57">
        <v>1</v>
      </c>
      <c r="O156" s="57">
        <v>1</v>
      </c>
      <c r="P156" s="57">
        <v>0</v>
      </c>
      <c r="Q156" s="57">
        <v>1</v>
      </c>
      <c r="R156" s="57">
        <v>16</v>
      </c>
    </row>
    <row r="157" spans="1:18" x14ac:dyDescent="0.25">
      <c r="A157" s="79">
        <v>42227</v>
      </c>
      <c r="B157" s="60"/>
      <c r="C157" s="59" t="s">
        <v>89</v>
      </c>
      <c r="D157" s="57">
        <v>9</v>
      </c>
      <c r="E157" s="57">
        <v>12</v>
      </c>
      <c r="F157" s="78">
        <f t="shared" si="12"/>
        <v>0.75</v>
      </c>
      <c r="G157" s="57">
        <v>0</v>
      </c>
      <c r="H157" s="57">
        <v>1</v>
      </c>
      <c r="I157" s="78">
        <f t="shared" si="13"/>
        <v>0</v>
      </c>
      <c r="J157" s="57">
        <v>4</v>
      </c>
      <c r="K157" s="57">
        <v>4</v>
      </c>
      <c r="L157" s="78">
        <f t="shared" si="14"/>
        <v>1</v>
      </c>
      <c r="M157" s="57">
        <v>7</v>
      </c>
      <c r="N157" s="57">
        <v>3</v>
      </c>
      <c r="O157" s="57">
        <v>1</v>
      </c>
      <c r="P157" s="57">
        <v>3</v>
      </c>
      <c r="Q157" s="57">
        <v>2</v>
      </c>
      <c r="R157" s="57">
        <v>22</v>
      </c>
    </row>
    <row r="158" spans="1:18" x14ac:dyDescent="0.25">
      <c r="A158" s="79">
        <v>42227</v>
      </c>
      <c r="B158" s="60"/>
      <c r="C158" s="59" t="s">
        <v>90</v>
      </c>
      <c r="D158" s="57">
        <v>4</v>
      </c>
      <c r="E158" s="57">
        <v>8</v>
      </c>
      <c r="F158" s="78">
        <f t="shared" ref="F158:F163" si="15">IF(E158=0,0,D158/E158)</f>
        <v>0.5</v>
      </c>
      <c r="G158" s="57">
        <v>1</v>
      </c>
      <c r="H158" s="57">
        <v>3</v>
      </c>
      <c r="I158" s="78">
        <f t="shared" ref="I158:I163" si="16">IF(H158=0,0,G158/H158)</f>
        <v>0.33333333333333331</v>
      </c>
      <c r="J158" s="57">
        <v>0</v>
      </c>
      <c r="K158" s="57">
        <v>0</v>
      </c>
      <c r="L158" s="78">
        <f t="shared" ref="L158:L163" si="17">IF(K158=0,0,J158/K158)</f>
        <v>0</v>
      </c>
      <c r="M158" s="57">
        <v>3</v>
      </c>
      <c r="N158" s="57">
        <v>4</v>
      </c>
      <c r="O158" s="57">
        <v>2</v>
      </c>
      <c r="P158" s="57">
        <v>1</v>
      </c>
      <c r="Q158" s="57">
        <v>0</v>
      </c>
      <c r="R158" s="57">
        <v>9</v>
      </c>
    </row>
    <row r="159" spans="1:18" x14ac:dyDescent="0.25">
      <c r="A159" s="79">
        <v>42228</v>
      </c>
      <c r="B159" s="60"/>
      <c r="C159" s="59" t="s">
        <v>86</v>
      </c>
      <c r="D159" s="57">
        <v>4</v>
      </c>
      <c r="E159" s="57">
        <v>12</v>
      </c>
      <c r="F159" s="78">
        <f t="shared" si="15"/>
        <v>0.33333333333333331</v>
      </c>
      <c r="G159" s="57">
        <v>0</v>
      </c>
      <c r="H159" s="57">
        <v>0</v>
      </c>
      <c r="I159" s="78">
        <f t="shared" si="16"/>
        <v>0</v>
      </c>
      <c r="J159" s="57">
        <v>1</v>
      </c>
      <c r="K159" s="57">
        <v>1</v>
      </c>
      <c r="L159" s="78">
        <f t="shared" si="17"/>
        <v>1</v>
      </c>
      <c r="M159" s="57">
        <v>2</v>
      </c>
      <c r="N159" s="57">
        <v>2</v>
      </c>
      <c r="O159" s="57">
        <v>1</v>
      </c>
      <c r="P159" s="57">
        <v>1</v>
      </c>
      <c r="Q159" s="57">
        <v>0</v>
      </c>
      <c r="R159" s="57">
        <v>9</v>
      </c>
    </row>
    <row r="160" spans="1:18" x14ac:dyDescent="0.25">
      <c r="A160" s="79">
        <v>42230</v>
      </c>
      <c r="B160" s="60"/>
      <c r="C160" s="59" t="s">
        <v>154</v>
      </c>
      <c r="D160" s="57">
        <v>8</v>
      </c>
      <c r="E160" s="57">
        <v>10</v>
      </c>
      <c r="F160" s="78">
        <f t="shared" si="15"/>
        <v>0.8</v>
      </c>
      <c r="G160" s="57">
        <v>0</v>
      </c>
      <c r="H160" s="57">
        <v>0</v>
      </c>
      <c r="I160" s="78">
        <f t="shared" si="16"/>
        <v>0</v>
      </c>
      <c r="J160" s="57">
        <v>3</v>
      </c>
      <c r="K160" s="57">
        <v>3</v>
      </c>
      <c r="L160" s="78">
        <f t="shared" si="17"/>
        <v>1</v>
      </c>
      <c r="M160" s="57">
        <v>8</v>
      </c>
      <c r="N160" s="57">
        <v>0</v>
      </c>
      <c r="O160" s="57">
        <v>0</v>
      </c>
      <c r="P160" s="57">
        <v>3</v>
      </c>
      <c r="Q160" s="57">
        <v>5</v>
      </c>
      <c r="R160" s="57">
        <v>19</v>
      </c>
    </row>
    <row r="161" spans="1:18" x14ac:dyDescent="0.25">
      <c r="A161" s="79">
        <v>42230</v>
      </c>
      <c r="B161" s="60"/>
      <c r="C161" s="59" t="s">
        <v>90</v>
      </c>
      <c r="D161" s="57">
        <v>2</v>
      </c>
      <c r="E161" s="57">
        <v>5</v>
      </c>
      <c r="F161" s="78">
        <f t="shared" si="15"/>
        <v>0.4</v>
      </c>
      <c r="G161" s="57">
        <v>0</v>
      </c>
      <c r="H161" s="57">
        <v>0</v>
      </c>
      <c r="I161" s="78">
        <f t="shared" si="16"/>
        <v>0</v>
      </c>
      <c r="J161" s="57">
        <v>3</v>
      </c>
      <c r="K161" s="57">
        <v>3</v>
      </c>
      <c r="L161" s="78">
        <f t="shared" si="17"/>
        <v>1</v>
      </c>
      <c r="M161" s="57">
        <v>1</v>
      </c>
      <c r="N161" s="57">
        <v>9</v>
      </c>
      <c r="O161" s="57">
        <v>1</v>
      </c>
      <c r="P161" s="57">
        <v>0</v>
      </c>
      <c r="Q161" s="57">
        <v>0</v>
      </c>
      <c r="R161" s="57">
        <v>7</v>
      </c>
    </row>
    <row r="162" spans="1:18" x14ac:dyDescent="0.25">
      <c r="A162" s="79">
        <v>42230</v>
      </c>
      <c r="B162" s="60"/>
      <c r="C162" s="59" t="s">
        <v>56</v>
      </c>
      <c r="D162" s="57">
        <v>7</v>
      </c>
      <c r="E162" s="57">
        <v>14</v>
      </c>
      <c r="F162" s="78">
        <f t="shared" si="15"/>
        <v>0.5</v>
      </c>
      <c r="G162" s="57">
        <v>1</v>
      </c>
      <c r="H162" s="57">
        <v>5</v>
      </c>
      <c r="I162" s="78">
        <f t="shared" si="16"/>
        <v>0.2</v>
      </c>
      <c r="J162" s="57">
        <v>6</v>
      </c>
      <c r="K162" s="57">
        <v>6</v>
      </c>
      <c r="L162" s="78">
        <f t="shared" si="17"/>
        <v>1</v>
      </c>
      <c r="M162" s="57">
        <v>2</v>
      </c>
      <c r="N162" s="57">
        <v>8</v>
      </c>
      <c r="O162" s="57">
        <v>0</v>
      </c>
      <c r="P162" s="57">
        <v>1</v>
      </c>
      <c r="Q162" s="57">
        <v>1</v>
      </c>
      <c r="R162" s="57">
        <v>21</v>
      </c>
    </row>
    <row r="163" spans="1:18" x14ac:dyDescent="0.25">
      <c r="A163" s="79">
        <v>42230</v>
      </c>
      <c r="B163" s="60"/>
      <c r="C163" s="59" t="s">
        <v>86</v>
      </c>
      <c r="D163" s="57">
        <v>4</v>
      </c>
      <c r="E163" s="57">
        <v>11</v>
      </c>
      <c r="F163" s="78">
        <f t="shared" si="15"/>
        <v>0.36363636363636365</v>
      </c>
      <c r="G163" s="57">
        <v>0</v>
      </c>
      <c r="H163" s="57">
        <v>1</v>
      </c>
      <c r="I163" s="78">
        <f t="shared" si="16"/>
        <v>0</v>
      </c>
      <c r="J163" s="57">
        <v>3</v>
      </c>
      <c r="K163" s="57">
        <v>4</v>
      </c>
      <c r="L163" s="78">
        <f t="shared" si="17"/>
        <v>0.75</v>
      </c>
      <c r="M163" s="57">
        <v>4</v>
      </c>
      <c r="N163" s="57">
        <v>2</v>
      </c>
      <c r="O163" s="57">
        <v>0</v>
      </c>
      <c r="P163" s="57">
        <v>0</v>
      </c>
      <c r="Q163" s="57">
        <v>0</v>
      </c>
      <c r="R163" s="57">
        <v>11</v>
      </c>
    </row>
    <row r="164" spans="1:18" x14ac:dyDescent="0.25">
      <c r="A164" s="43">
        <v>42231</v>
      </c>
      <c r="B164" s="47"/>
      <c r="C164" s="81" t="s">
        <v>90</v>
      </c>
      <c r="D164" s="84">
        <v>1</v>
      </c>
      <c r="E164" s="84">
        <v>1</v>
      </c>
      <c r="F164" s="85">
        <f t="shared" ref="F164:F170" si="18">IF(E164=0,0,D164/E164)</f>
        <v>1</v>
      </c>
      <c r="G164" s="84">
        <v>0</v>
      </c>
      <c r="H164" s="84">
        <v>0</v>
      </c>
      <c r="I164" s="85">
        <f t="shared" ref="I164:I170" si="19">IF(H164=0,0,G164/H164)</f>
        <v>0</v>
      </c>
      <c r="J164" s="84">
        <v>0</v>
      </c>
      <c r="K164" s="84">
        <v>0</v>
      </c>
      <c r="L164" s="85">
        <f t="shared" ref="L164:L170" si="20">IF(K164=0,0,J164/K164)</f>
        <v>0</v>
      </c>
      <c r="M164" s="84">
        <v>0</v>
      </c>
      <c r="N164" s="84">
        <v>1</v>
      </c>
      <c r="O164" s="84">
        <v>0</v>
      </c>
      <c r="P164" s="84">
        <v>2</v>
      </c>
      <c r="Q164" s="84">
        <v>0</v>
      </c>
      <c r="R164" s="84">
        <v>2</v>
      </c>
    </row>
    <row r="165" spans="1:18" x14ac:dyDescent="0.25">
      <c r="A165" s="43">
        <v>42232</v>
      </c>
      <c r="B165" s="47"/>
      <c r="C165" s="80" t="s">
        <v>53</v>
      </c>
      <c r="D165" s="84">
        <v>2</v>
      </c>
      <c r="E165" s="84">
        <v>5</v>
      </c>
      <c r="F165" s="85">
        <f t="shared" si="18"/>
        <v>0.4</v>
      </c>
      <c r="G165" s="84">
        <v>0</v>
      </c>
      <c r="H165" s="84">
        <v>0</v>
      </c>
      <c r="I165" s="85">
        <f t="shared" si="19"/>
        <v>0</v>
      </c>
      <c r="J165" s="84">
        <v>4</v>
      </c>
      <c r="K165" s="84">
        <v>4</v>
      </c>
      <c r="L165" s="85">
        <f t="shared" si="20"/>
        <v>1</v>
      </c>
      <c r="M165" s="84">
        <v>7</v>
      </c>
      <c r="N165" s="84">
        <v>3</v>
      </c>
      <c r="O165" s="84">
        <v>1</v>
      </c>
      <c r="P165" s="84">
        <v>2</v>
      </c>
      <c r="Q165" s="84">
        <v>0</v>
      </c>
      <c r="R165" s="84">
        <v>8</v>
      </c>
    </row>
    <row r="166" spans="1:18" x14ac:dyDescent="0.25">
      <c r="A166" s="43">
        <v>42232</v>
      </c>
      <c r="B166" s="47"/>
      <c r="C166" s="80" t="s">
        <v>154</v>
      </c>
      <c r="D166" s="84">
        <v>5</v>
      </c>
      <c r="E166" s="84">
        <v>11</v>
      </c>
      <c r="F166" s="85">
        <f t="shared" si="18"/>
        <v>0.45454545454545453</v>
      </c>
      <c r="G166" s="84">
        <v>0</v>
      </c>
      <c r="H166" s="84">
        <v>0</v>
      </c>
      <c r="I166" s="85">
        <f t="shared" si="19"/>
        <v>0</v>
      </c>
      <c r="J166" s="84">
        <v>5</v>
      </c>
      <c r="K166" s="84">
        <v>7</v>
      </c>
      <c r="L166" s="85">
        <f t="shared" si="20"/>
        <v>0.7142857142857143</v>
      </c>
      <c r="M166" s="84">
        <v>11</v>
      </c>
      <c r="N166" s="84">
        <v>1</v>
      </c>
      <c r="O166" s="84">
        <v>1</v>
      </c>
      <c r="P166" s="84">
        <v>0</v>
      </c>
      <c r="Q166" s="84">
        <v>1</v>
      </c>
      <c r="R166" s="84">
        <v>15</v>
      </c>
    </row>
    <row r="167" spans="1:18" x14ac:dyDescent="0.25">
      <c r="A167" s="43">
        <v>42232</v>
      </c>
      <c r="B167" s="47"/>
      <c r="C167" s="80" t="s">
        <v>56</v>
      </c>
      <c r="D167" s="84">
        <v>1</v>
      </c>
      <c r="E167" s="84">
        <v>9</v>
      </c>
      <c r="F167" s="85">
        <f t="shared" si="18"/>
        <v>0.1111111111111111</v>
      </c>
      <c r="G167" s="84">
        <v>0</v>
      </c>
      <c r="H167" s="84">
        <v>3</v>
      </c>
      <c r="I167" s="85">
        <f t="shared" si="19"/>
        <v>0</v>
      </c>
      <c r="J167" s="84">
        <v>2</v>
      </c>
      <c r="K167" s="84">
        <v>2</v>
      </c>
      <c r="L167" s="85">
        <f t="shared" si="20"/>
        <v>1</v>
      </c>
      <c r="M167" s="84">
        <v>2</v>
      </c>
      <c r="N167" s="84">
        <v>4</v>
      </c>
      <c r="O167" s="84">
        <v>1</v>
      </c>
      <c r="P167" s="84">
        <v>4</v>
      </c>
      <c r="Q167" s="84">
        <v>0</v>
      </c>
      <c r="R167" s="84">
        <v>4</v>
      </c>
    </row>
    <row r="168" spans="1:18" x14ac:dyDescent="0.25">
      <c r="A168" s="43">
        <v>42232</v>
      </c>
      <c r="B168" s="47"/>
      <c r="C168" s="80" t="s">
        <v>89</v>
      </c>
      <c r="D168" s="84">
        <v>5</v>
      </c>
      <c r="E168" s="84">
        <v>11</v>
      </c>
      <c r="F168" s="85">
        <f t="shared" si="18"/>
        <v>0.45454545454545453</v>
      </c>
      <c r="G168" s="84">
        <v>0</v>
      </c>
      <c r="H168" s="84">
        <v>0</v>
      </c>
      <c r="I168" s="85">
        <f t="shared" si="19"/>
        <v>0</v>
      </c>
      <c r="J168" s="84">
        <v>2</v>
      </c>
      <c r="K168" s="84">
        <v>2</v>
      </c>
      <c r="L168" s="85">
        <f t="shared" si="20"/>
        <v>1</v>
      </c>
      <c r="M168" s="84">
        <v>8</v>
      </c>
      <c r="N168" s="84">
        <v>3</v>
      </c>
      <c r="O168" s="84">
        <v>1</v>
      </c>
      <c r="P168" s="84">
        <v>2</v>
      </c>
      <c r="Q168" s="84">
        <v>0</v>
      </c>
      <c r="R168" s="84">
        <v>12</v>
      </c>
    </row>
    <row r="169" spans="1:18" x14ac:dyDescent="0.25">
      <c r="A169" s="43">
        <v>42232</v>
      </c>
      <c r="B169" s="47"/>
      <c r="C169" s="22" t="s">
        <v>57</v>
      </c>
      <c r="D169" s="84">
        <v>1</v>
      </c>
      <c r="E169" s="84">
        <v>4</v>
      </c>
      <c r="F169" s="85">
        <f t="shared" si="18"/>
        <v>0.25</v>
      </c>
      <c r="G169" s="84">
        <v>0</v>
      </c>
      <c r="H169" s="84">
        <v>0</v>
      </c>
      <c r="I169" s="85">
        <f t="shared" si="19"/>
        <v>0</v>
      </c>
      <c r="J169" s="84">
        <v>0</v>
      </c>
      <c r="K169" s="84">
        <v>2</v>
      </c>
      <c r="L169" s="85">
        <f t="shared" si="20"/>
        <v>0</v>
      </c>
      <c r="M169" s="84">
        <v>4</v>
      </c>
      <c r="N169" s="84">
        <v>4</v>
      </c>
      <c r="O169" s="84">
        <v>1</v>
      </c>
      <c r="P169" s="84">
        <v>2</v>
      </c>
      <c r="Q169" s="84">
        <v>1</v>
      </c>
      <c r="R169" s="84">
        <v>2</v>
      </c>
    </row>
    <row r="170" spans="1:18" x14ac:dyDescent="0.25">
      <c r="A170" s="43">
        <v>42232</v>
      </c>
      <c r="B170" s="47"/>
      <c r="C170" s="22" t="s">
        <v>33</v>
      </c>
      <c r="D170" s="84">
        <v>5</v>
      </c>
      <c r="E170" s="84">
        <v>13</v>
      </c>
      <c r="F170" s="85">
        <f t="shared" si="18"/>
        <v>0.38461538461538464</v>
      </c>
      <c r="G170" s="84">
        <v>1</v>
      </c>
      <c r="H170" s="84">
        <v>2</v>
      </c>
      <c r="I170" s="85">
        <f t="shared" si="19"/>
        <v>0.5</v>
      </c>
      <c r="J170" s="84">
        <v>0</v>
      </c>
      <c r="K170" s="84">
        <v>0</v>
      </c>
      <c r="L170" s="85">
        <f t="shared" si="20"/>
        <v>0</v>
      </c>
      <c r="M170" s="84">
        <v>2</v>
      </c>
      <c r="N170" s="84">
        <v>1</v>
      </c>
      <c r="O170" s="84">
        <v>2</v>
      </c>
      <c r="P170" s="84">
        <v>0</v>
      </c>
      <c r="Q170" s="84">
        <v>0</v>
      </c>
      <c r="R170" s="84">
        <v>11</v>
      </c>
    </row>
    <row r="171" spans="1:18" x14ac:dyDescent="0.25">
      <c r="A171" s="71">
        <v>42234</v>
      </c>
      <c r="B171" s="20"/>
      <c r="C171" s="15" t="s">
        <v>89</v>
      </c>
      <c r="D171" s="16">
        <v>5</v>
      </c>
      <c r="E171" s="16">
        <v>7</v>
      </c>
      <c r="F171" s="96">
        <f t="shared" ref="F171:F187" si="21">IF(E171=0,0,D171/E171)</f>
        <v>0.7142857142857143</v>
      </c>
      <c r="G171" s="16">
        <v>0</v>
      </c>
      <c r="H171" s="16">
        <v>0</v>
      </c>
      <c r="I171" s="96">
        <f t="shared" ref="I171:I187" si="22">IF(H171=0,0,G171/H171)</f>
        <v>0</v>
      </c>
      <c r="J171" s="16">
        <v>0</v>
      </c>
      <c r="K171" s="16">
        <v>0</v>
      </c>
      <c r="L171" s="96">
        <f t="shared" ref="L171:L187" si="23">IF(K171=0,0,J171/K171)</f>
        <v>0</v>
      </c>
      <c r="M171" s="16">
        <v>4</v>
      </c>
      <c r="N171" s="16">
        <v>2</v>
      </c>
      <c r="O171" s="16">
        <v>1</v>
      </c>
      <c r="P171" s="16">
        <v>3</v>
      </c>
      <c r="Q171" s="16">
        <v>3</v>
      </c>
      <c r="R171" s="16">
        <v>10</v>
      </c>
    </row>
    <row r="172" spans="1:18" x14ac:dyDescent="0.25">
      <c r="A172" s="71">
        <v>42235</v>
      </c>
      <c r="B172" s="20"/>
      <c r="C172" s="15" t="s">
        <v>90</v>
      </c>
      <c r="D172" s="16">
        <v>2</v>
      </c>
      <c r="E172" s="16">
        <v>4</v>
      </c>
      <c r="F172" s="96">
        <f t="shared" si="21"/>
        <v>0.5</v>
      </c>
      <c r="G172" s="16">
        <v>0</v>
      </c>
      <c r="H172" s="16">
        <v>1</v>
      </c>
      <c r="I172" s="96">
        <f t="shared" si="22"/>
        <v>0</v>
      </c>
      <c r="J172" s="16">
        <v>2</v>
      </c>
      <c r="K172" s="16">
        <v>2</v>
      </c>
      <c r="L172" s="96">
        <f t="shared" si="23"/>
        <v>1</v>
      </c>
      <c r="M172" s="16">
        <v>1</v>
      </c>
      <c r="N172" s="16">
        <v>1</v>
      </c>
      <c r="O172" s="16">
        <v>0</v>
      </c>
      <c r="P172" s="16">
        <v>1</v>
      </c>
      <c r="Q172" s="16">
        <v>0</v>
      </c>
      <c r="R172" s="16">
        <v>6</v>
      </c>
    </row>
    <row r="173" spans="1:18" x14ac:dyDescent="0.25">
      <c r="A173" s="71">
        <v>42235</v>
      </c>
      <c r="B173" s="20"/>
      <c r="C173" s="15" t="s">
        <v>57</v>
      </c>
      <c r="D173" s="16">
        <v>0</v>
      </c>
      <c r="E173" s="16">
        <v>5</v>
      </c>
      <c r="F173" s="96">
        <f t="shared" si="21"/>
        <v>0</v>
      </c>
      <c r="G173" s="16">
        <v>0</v>
      </c>
      <c r="H173" s="16">
        <v>0</v>
      </c>
      <c r="I173" s="96">
        <f t="shared" si="22"/>
        <v>0</v>
      </c>
      <c r="J173" s="16">
        <v>2</v>
      </c>
      <c r="K173" s="16">
        <v>4</v>
      </c>
      <c r="L173" s="96">
        <f t="shared" si="23"/>
        <v>0.5</v>
      </c>
      <c r="M173" s="16">
        <v>6</v>
      </c>
      <c r="N173" s="16">
        <v>0</v>
      </c>
      <c r="O173" s="16">
        <v>2</v>
      </c>
      <c r="P173" s="16">
        <v>1</v>
      </c>
      <c r="Q173" s="16">
        <v>0</v>
      </c>
      <c r="R173" s="16">
        <v>2</v>
      </c>
    </row>
    <row r="174" spans="1:18" x14ac:dyDescent="0.25">
      <c r="A174" s="71">
        <v>42235</v>
      </c>
      <c r="B174" s="20"/>
      <c r="C174" s="15" t="s">
        <v>33</v>
      </c>
      <c r="D174" s="16">
        <v>2</v>
      </c>
      <c r="E174" s="16">
        <v>6</v>
      </c>
      <c r="F174" s="96">
        <f t="shared" si="21"/>
        <v>0.33333333333333331</v>
      </c>
      <c r="G174" s="16">
        <v>0</v>
      </c>
      <c r="H174" s="16">
        <v>0</v>
      </c>
      <c r="I174" s="96">
        <f t="shared" si="22"/>
        <v>0</v>
      </c>
      <c r="J174" s="16">
        <v>0</v>
      </c>
      <c r="K174" s="16">
        <v>0</v>
      </c>
      <c r="L174" s="96">
        <f t="shared" si="23"/>
        <v>0</v>
      </c>
      <c r="M174" s="16">
        <v>2</v>
      </c>
      <c r="N174" s="16">
        <v>0</v>
      </c>
      <c r="O174" s="16">
        <v>0</v>
      </c>
      <c r="P174" s="16">
        <v>2</v>
      </c>
      <c r="Q174" s="16">
        <v>0</v>
      </c>
      <c r="R174" s="16">
        <v>4</v>
      </c>
    </row>
    <row r="175" spans="1:18" x14ac:dyDescent="0.25">
      <c r="A175" s="71">
        <v>42235</v>
      </c>
      <c r="B175" s="20"/>
      <c r="C175" s="15" t="s">
        <v>154</v>
      </c>
      <c r="D175" s="16">
        <v>4</v>
      </c>
      <c r="E175" s="16">
        <v>11</v>
      </c>
      <c r="F175" s="96">
        <f t="shared" si="21"/>
        <v>0.36363636363636365</v>
      </c>
      <c r="G175" s="16">
        <v>0</v>
      </c>
      <c r="H175" s="16">
        <v>0</v>
      </c>
      <c r="I175" s="96">
        <f t="shared" si="22"/>
        <v>0</v>
      </c>
      <c r="J175" s="16">
        <v>5</v>
      </c>
      <c r="K175" s="16">
        <v>6</v>
      </c>
      <c r="L175" s="96">
        <f t="shared" si="23"/>
        <v>0.83333333333333337</v>
      </c>
      <c r="M175" s="16">
        <v>5</v>
      </c>
      <c r="N175" s="16">
        <v>1</v>
      </c>
      <c r="O175" s="16">
        <v>1</v>
      </c>
      <c r="P175" s="16">
        <v>4</v>
      </c>
      <c r="Q175" s="16">
        <v>1</v>
      </c>
      <c r="R175" s="16">
        <v>13</v>
      </c>
    </row>
    <row r="176" spans="1:18" x14ac:dyDescent="0.25">
      <c r="A176" s="71">
        <v>42237</v>
      </c>
      <c r="B176" s="20"/>
      <c r="C176" s="15" t="s">
        <v>57</v>
      </c>
      <c r="D176" s="16">
        <v>2</v>
      </c>
      <c r="E176" s="16">
        <v>8</v>
      </c>
      <c r="F176" s="96">
        <f t="shared" si="21"/>
        <v>0.25</v>
      </c>
      <c r="G176" s="16">
        <v>0</v>
      </c>
      <c r="H176" s="16">
        <v>1</v>
      </c>
      <c r="I176" s="96">
        <f t="shared" si="22"/>
        <v>0</v>
      </c>
      <c r="J176" s="16">
        <v>0</v>
      </c>
      <c r="K176" s="16">
        <v>0</v>
      </c>
      <c r="L176" s="96">
        <f t="shared" si="23"/>
        <v>0</v>
      </c>
      <c r="M176" s="16">
        <v>1</v>
      </c>
      <c r="N176" s="16">
        <v>0</v>
      </c>
      <c r="O176" s="16">
        <v>2</v>
      </c>
      <c r="P176" s="16">
        <v>2</v>
      </c>
      <c r="Q176" s="16">
        <v>1</v>
      </c>
      <c r="R176" s="16">
        <v>4</v>
      </c>
    </row>
    <row r="177" spans="1:18" x14ac:dyDescent="0.25">
      <c r="A177" s="71">
        <v>42237</v>
      </c>
      <c r="B177" s="20"/>
      <c r="C177" s="15" t="s">
        <v>33</v>
      </c>
      <c r="D177" s="16">
        <v>6</v>
      </c>
      <c r="E177" s="16">
        <v>13</v>
      </c>
      <c r="F177" s="96">
        <f t="shared" si="21"/>
        <v>0.46153846153846156</v>
      </c>
      <c r="G177" s="16">
        <v>1</v>
      </c>
      <c r="H177" s="16">
        <v>3</v>
      </c>
      <c r="I177" s="96">
        <f t="shared" si="22"/>
        <v>0.33333333333333331</v>
      </c>
      <c r="J177" s="16">
        <v>3</v>
      </c>
      <c r="K177" s="16">
        <v>4</v>
      </c>
      <c r="L177" s="96">
        <f t="shared" si="23"/>
        <v>0.75</v>
      </c>
      <c r="M177" s="16">
        <v>2</v>
      </c>
      <c r="N177" s="16">
        <v>1</v>
      </c>
      <c r="O177" s="16">
        <v>2</v>
      </c>
      <c r="P177" s="16">
        <v>1</v>
      </c>
      <c r="Q177" s="16">
        <v>0</v>
      </c>
      <c r="R177" s="16">
        <v>16</v>
      </c>
    </row>
    <row r="178" spans="1:18" x14ac:dyDescent="0.25">
      <c r="A178" s="71">
        <v>42237</v>
      </c>
      <c r="B178" s="20"/>
      <c r="C178" s="15" t="s">
        <v>89</v>
      </c>
      <c r="D178" s="16">
        <v>7</v>
      </c>
      <c r="E178" s="16">
        <v>10</v>
      </c>
      <c r="F178" s="96">
        <f t="shared" si="21"/>
        <v>0.7</v>
      </c>
      <c r="G178" s="16">
        <v>0</v>
      </c>
      <c r="H178" s="16">
        <v>0</v>
      </c>
      <c r="I178" s="96">
        <f t="shared" si="22"/>
        <v>0</v>
      </c>
      <c r="J178" s="16">
        <v>1</v>
      </c>
      <c r="K178" s="16">
        <v>1</v>
      </c>
      <c r="L178" s="96">
        <f t="shared" si="23"/>
        <v>1</v>
      </c>
      <c r="M178" s="16">
        <v>11</v>
      </c>
      <c r="N178" s="16">
        <v>3</v>
      </c>
      <c r="O178" s="16">
        <v>0</v>
      </c>
      <c r="P178" s="16">
        <v>2</v>
      </c>
      <c r="Q178" s="16">
        <v>1</v>
      </c>
      <c r="R178" s="16">
        <v>15</v>
      </c>
    </row>
    <row r="179" spans="1:18" x14ac:dyDescent="0.25">
      <c r="A179" s="71">
        <v>42237</v>
      </c>
      <c r="B179" s="20"/>
      <c r="C179" s="15" t="s">
        <v>56</v>
      </c>
      <c r="D179" s="16">
        <v>3</v>
      </c>
      <c r="E179" s="16">
        <v>12</v>
      </c>
      <c r="F179" s="96">
        <f t="shared" si="21"/>
        <v>0.25</v>
      </c>
      <c r="G179" s="16">
        <v>1</v>
      </c>
      <c r="H179" s="16">
        <v>3</v>
      </c>
      <c r="I179" s="96">
        <f t="shared" si="22"/>
        <v>0.33333333333333331</v>
      </c>
      <c r="J179" s="16">
        <v>2</v>
      </c>
      <c r="K179" s="16">
        <v>3</v>
      </c>
      <c r="L179" s="96">
        <f t="shared" si="23"/>
        <v>0.66666666666666663</v>
      </c>
      <c r="M179" s="16">
        <v>8</v>
      </c>
      <c r="N179" s="16">
        <v>10</v>
      </c>
      <c r="O179" s="16">
        <v>0</v>
      </c>
      <c r="P179" s="16">
        <v>3</v>
      </c>
      <c r="Q179" s="16">
        <v>1</v>
      </c>
      <c r="R179" s="16">
        <v>9</v>
      </c>
    </row>
    <row r="180" spans="1:18" x14ac:dyDescent="0.25">
      <c r="A180" s="71">
        <v>42237</v>
      </c>
      <c r="B180" s="20"/>
      <c r="C180" s="15" t="s">
        <v>53</v>
      </c>
      <c r="D180" s="16">
        <v>2</v>
      </c>
      <c r="E180" s="16">
        <v>6</v>
      </c>
      <c r="F180" s="96">
        <f t="shared" si="21"/>
        <v>0.33333333333333331</v>
      </c>
      <c r="G180" s="16">
        <v>0</v>
      </c>
      <c r="H180" s="16">
        <v>0</v>
      </c>
      <c r="I180" s="96">
        <f t="shared" si="22"/>
        <v>0</v>
      </c>
      <c r="J180" s="16">
        <v>2</v>
      </c>
      <c r="K180" s="16">
        <v>2</v>
      </c>
      <c r="L180" s="96">
        <f t="shared" si="23"/>
        <v>1</v>
      </c>
      <c r="M180" s="16">
        <v>8</v>
      </c>
      <c r="N180" s="16">
        <v>1</v>
      </c>
      <c r="O180" s="16">
        <v>2</v>
      </c>
      <c r="P180" s="16">
        <v>1</v>
      </c>
      <c r="Q180" s="16">
        <v>0</v>
      </c>
      <c r="R180" s="16">
        <v>6</v>
      </c>
    </row>
    <row r="181" spans="1:18" x14ac:dyDescent="0.25">
      <c r="A181" s="71">
        <v>42237</v>
      </c>
      <c r="B181" s="20"/>
      <c r="C181" s="15" t="s">
        <v>154</v>
      </c>
      <c r="D181" s="16">
        <v>8</v>
      </c>
      <c r="E181" s="16">
        <v>13</v>
      </c>
      <c r="F181" s="96">
        <f t="shared" si="21"/>
        <v>0.61538461538461542</v>
      </c>
      <c r="G181" s="16">
        <v>0</v>
      </c>
      <c r="H181" s="16">
        <v>0</v>
      </c>
      <c r="I181" s="96">
        <f t="shared" si="22"/>
        <v>0</v>
      </c>
      <c r="J181" s="16">
        <v>0</v>
      </c>
      <c r="K181" s="16">
        <v>0</v>
      </c>
      <c r="L181" s="96">
        <f t="shared" si="23"/>
        <v>0</v>
      </c>
      <c r="M181" s="16">
        <v>12</v>
      </c>
      <c r="N181" s="16">
        <v>0</v>
      </c>
      <c r="O181" s="16">
        <v>2</v>
      </c>
      <c r="P181" s="16">
        <v>1</v>
      </c>
      <c r="Q181" s="16">
        <v>0</v>
      </c>
      <c r="R181" s="16">
        <v>16</v>
      </c>
    </row>
    <row r="182" spans="1:18" x14ac:dyDescent="0.25">
      <c r="A182" s="21">
        <v>42239</v>
      </c>
      <c r="B182" s="20"/>
      <c r="C182" s="15" t="s">
        <v>33</v>
      </c>
      <c r="D182" s="16">
        <v>0</v>
      </c>
      <c r="E182" s="16">
        <v>4</v>
      </c>
      <c r="F182" s="96">
        <f t="shared" si="21"/>
        <v>0</v>
      </c>
      <c r="G182" s="16">
        <v>0</v>
      </c>
      <c r="H182" s="16">
        <v>1</v>
      </c>
      <c r="I182" s="96">
        <f t="shared" si="22"/>
        <v>0</v>
      </c>
      <c r="J182" s="16">
        <v>7</v>
      </c>
      <c r="K182" s="16">
        <v>9</v>
      </c>
      <c r="L182" s="96">
        <f t="shared" si="23"/>
        <v>0.77777777777777779</v>
      </c>
      <c r="M182" s="16">
        <v>0</v>
      </c>
      <c r="N182" s="16">
        <v>4</v>
      </c>
      <c r="O182" s="16">
        <v>1</v>
      </c>
      <c r="P182" s="16">
        <v>1</v>
      </c>
      <c r="Q182" s="16">
        <v>0</v>
      </c>
      <c r="R182" s="16">
        <v>7</v>
      </c>
    </row>
    <row r="183" spans="1:18" x14ac:dyDescent="0.25">
      <c r="A183" s="21">
        <v>42239</v>
      </c>
      <c r="B183" s="20"/>
      <c r="C183" s="15" t="s">
        <v>57</v>
      </c>
      <c r="D183" s="16">
        <v>4</v>
      </c>
      <c r="E183" s="16">
        <v>9</v>
      </c>
      <c r="F183" s="96">
        <f t="shared" si="21"/>
        <v>0.44444444444444442</v>
      </c>
      <c r="G183" s="16">
        <v>0</v>
      </c>
      <c r="H183" s="16">
        <v>0</v>
      </c>
      <c r="I183" s="96">
        <f t="shared" si="22"/>
        <v>0</v>
      </c>
      <c r="J183" s="16">
        <v>0</v>
      </c>
      <c r="K183" s="16">
        <v>2</v>
      </c>
      <c r="L183" s="96">
        <f t="shared" si="23"/>
        <v>0</v>
      </c>
      <c r="M183" s="16">
        <v>6</v>
      </c>
      <c r="N183" s="16">
        <v>1</v>
      </c>
      <c r="O183" s="16">
        <v>0</v>
      </c>
      <c r="P183" s="16">
        <v>1</v>
      </c>
      <c r="Q183" s="16">
        <v>0</v>
      </c>
      <c r="R183" s="16">
        <v>8</v>
      </c>
    </row>
    <row r="184" spans="1:18" x14ac:dyDescent="0.25">
      <c r="A184" s="21">
        <v>42239</v>
      </c>
      <c r="B184" s="20"/>
      <c r="C184" s="15" t="s">
        <v>56</v>
      </c>
      <c r="D184" s="16">
        <v>1</v>
      </c>
      <c r="E184" s="16">
        <v>5</v>
      </c>
      <c r="F184" s="96">
        <f t="shared" si="21"/>
        <v>0.2</v>
      </c>
      <c r="G184" s="16">
        <v>0</v>
      </c>
      <c r="H184" s="16">
        <v>2</v>
      </c>
      <c r="I184" s="96">
        <f t="shared" si="22"/>
        <v>0</v>
      </c>
      <c r="J184" s="16">
        <v>2</v>
      </c>
      <c r="K184" s="16">
        <v>2</v>
      </c>
      <c r="L184" s="96">
        <f t="shared" si="23"/>
        <v>1</v>
      </c>
      <c r="M184" s="16">
        <v>2</v>
      </c>
      <c r="N184" s="16">
        <v>2</v>
      </c>
      <c r="O184" s="16">
        <v>0</v>
      </c>
      <c r="P184" s="16">
        <v>3</v>
      </c>
      <c r="Q184" s="16">
        <v>2</v>
      </c>
      <c r="R184" s="16">
        <v>4</v>
      </c>
    </row>
    <row r="185" spans="1:18" x14ac:dyDescent="0.25">
      <c r="A185" s="21">
        <v>42239</v>
      </c>
      <c r="B185" s="20"/>
      <c r="C185" s="15" t="s">
        <v>53</v>
      </c>
      <c r="D185" s="16">
        <v>3</v>
      </c>
      <c r="E185" s="16">
        <v>6</v>
      </c>
      <c r="F185" s="96">
        <f t="shared" si="21"/>
        <v>0.5</v>
      </c>
      <c r="G185" s="16">
        <v>0</v>
      </c>
      <c r="H185" s="16">
        <v>0</v>
      </c>
      <c r="I185" s="96">
        <f t="shared" si="22"/>
        <v>0</v>
      </c>
      <c r="J185" s="16">
        <v>0</v>
      </c>
      <c r="K185" s="16">
        <v>0</v>
      </c>
      <c r="L185" s="96">
        <f t="shared" si="23"/>
        <v>0</v>
      </c>
      <c r="M185" s="16">
        <v>6</v>
      </c>
      <c r="N185" s="16">
        <v>2</v>
      </c>
      <c r="O185" s="16">
        <v>2</v>
      </c>
      <c r="P185" s="16">
        <v>2</v>
      </c>
      <c r="Q185" s="16">
        <v>0</v>
      </c>
      <c r="R185" s="16">
        <v>6</v>
      </c>
    </row>
    <row r="186" spans="1:18" x14ac:dyDescent="0.25">
      <c r="A186" s="21">
        <v>42239</v>
      </c>
      <c r="B186" s="20"/>
      <c r="C186" s="15" t="s">
        <v>89</v>
      </c>
      <c r="D186" s="16">
        <v>9</v>
      </c>
      <c r="E186" s="16">
        <v>11</v>
      </c>
      <c r="F186" s="96">
        <f t="shared" si="21"/>
        <v>0.81818181818181823</v>
      </c>
      <c r="G186" s="16">
        <v>0</v>
      </c>
      <c r="H186" s="16">
        <v>0</v>
      </c>
      <c r="I186" s="96">
        <f t="shared" si="22"/>
        <v>0</v>
      </c>
      <c r="J186" s="16">
        <v>4</v>
      </c>
      <c r="K186" s="16">
        <v>4</v>
      </c>
      <c r="L186" s="96">
        <f t="shared" si="23"/>
        <v>1</v>
      </c>
      <c r="M186" s="16">
        <v>4</v>
      </c>
      <c r="N186" s="16">
        <v>2</v>
      </c>
      <c r="O186" s="16">
        <v>0</v>
      </c>
      <c r="P186" s="16">
        <v>1</v>
      </c>
      <c r="Q186" s="16">
        <v>5</v>
      </c>
      <c r="R186" s="16">
        <v>22</v>
      </c>
    </row>
    <row r="187" spans="1:18" x14ac:dyDescent="0.25">
      <c r="A187" s="21">
        <v>42239</v>
      </c>
      <c r="B187" s="20"/>
      <c r="C187" s="15" t="s">
        <v>154</v>
      </c>
      <c r="D187" s="16">
        <v>7</v>
      </c>
      <c r="E187" s="16">
        <v>16</v>
      </c>
      <c r="F187" s="96">
        <f t="shared" si="21"/>
        <v>0.4375</v>
      </c>
      <c r="G187" s="16">
        <v>0</v>
      </c>
      <c r="H187" s="16">
        <v>0</v>
      </c>
      <c r="I187" s="96">
        <f t="shared" si="22"/>
        <v>0</v>
      </c>
      <c r="J187" s="16">
        <v>2</v>
      </c>
      <c r="K187" s="16">
        <v>6</v>
      </c>
      <c r="L187" s="96">
        <f t="shared" si="23"/>
        <v>0.33333333333333331</v>
      </c>
      <c r="M187" s="16">
        <v>12</v>
      </c>
      <c r="N187" s="16">
        <v>1</v>
      </c>
      <c r="O187" s="16">
        <v>2</v>
      </c>
      <c r="P187" s="16">
        <v>1</v>
      </c>
      <c r="Q187" s="16">
        <v>2</v>
      </c>
      <c r="R187" s="16">
        <v>16</v>
      </c>
    </row>
    <row r="188" spans="1:18" x14ac:dyDescent="0.25">
      <c r="A188" s="71">
        <v>42241</v>
      </c>
      <c r="B188" s="20"/>
      <c r="C188" s="15" t="s">
        <v>53</v>
      </c>
      <c r="D188" s="16">
        <v>6</v>
      </c>
      <c r="E188" s="16">
        <v>11</v>
      </c>
      <c r="F188" s="98">
        <f t="shared" ref="F188:F203" si="24">IF(E188=0,0,D188/E188)</f>
        <v>0.54545454545454541</v>
      </c>
      <c r="G188" s="16">
        <v>0</v>
      </c>
      <c r="H188" s="16">
        <v>0</v>
      </c>
      <c r="I188" s="98">
        <f t="shared" ref="I188:I203" si="25">IF(H188=0,0,G188/H188)</f>
        <v>0</v>
      </c>
      <c r="J188" s="16">
        <v>5</v>
      </c>
      <c r="K188" s="16">
        <v>6</v>
      </c>
      <c r="L188" s="98">
        <f t="shared" ref="L188:L203" si="26">IF(K188=0,0,J188/K188)</f>
        <v>0.83333333333333337</v>
      </c>
      <c r="M188" s="16">
        <v>7</v>
      </c>
      <c r="N188" s="16">
        <v>2</v>
      </c>
      <c r="O188" s="16">
        <v>1</v>
      </c>
      <c r="P188" s="16">
        <v>1</v>
      </c>
      <c r="Q188" s="16">
        <v>0</v>
      </c>
      <c r="R188" s="16">
        <v>17</v>
      </c>
    </row>
    <row r="189" spans="1:18" x14ac:dyDescent="0.25">
      <c r="A189" s="71">
        <v>42242</v>
      </c>
      <c r="B189" s="20"/>
      <c r="C189" s="15" t="s">
        <v>89</v>
      </c>
      <c r="D189" s="16">
        <v>7</v>
      </c>
      <c r="E189" s="16">
        <v>13</v>
      </c>
      <c r="F189" s="98">
        <f t="shared" si="24"/>
        <v>0.53846153846153844</v>
      </c>
      <c r="G189" s="16">
        <v>0</v>
      </c>
      <c r="H189" s="16">
        <v>0</v>
      </c>
      <c r="I189" s="98">
        <f t="shared" si="25"/>
        <v>0</v>
      </c>
      <c r="J189" s="16">
        <v>3</v>
      </c>
      <c r="K189" s="16">
        <v>3</v>
      </c>
      <c r="L189" s="98">
        <f t="shared" si="26"/>
        <v>1</v>
      </c>
      <c r="M189" s="16">
        <v>6</v>
      </c>
      <c r="N189" s="16">
        <v>3</v>
      </c>
      <c r="O189" s="16">
        <v>0</v>
      </c>
      <c r="P189" s="16">
        <v>4</v>
      </c>
      <c r="Q189" s="16">
        <v>0</v>
      </c>
      <c r="R189" s="16">
        <v>17</v>
      </c>
    </row>
    <row r="190" spans="1:18" x14ac:dyDescent="0.25">
      <c r="A190" s="71">
        <v>42244</v>
      </c>
      <c r="B190" s="20"/>
      <c r="C190" s="15" t="s">
        <v>53</v>
      </c>
      <c r="D190" s="16">
        <v>2</v>
      </c>
      <c r="E190" s="16">
        <v>5</v>
      </c>
      <c r="F190" s="98">
        <f t="shared" si="24"/>
        <v>0.4</v>
      </c>
      <c r="G190" s="16">
        <v>0</v>
      </c>
      <c r="H190" s="16">
        <v>0</v>
      </c>
      <c r="I190" s="98">
        <f t="shared" si="25"/>
        <v>0</v>
      </c>
      <c r="J190" s="16">
        <v>2</v>
      </c>
      <c r="K190" s="16">
        <v>2</v>
      </c>
      <c r="L190" s="98">
        <f t="shared" si="26"/>
        <v>1</v>
      </c>
      <c r="M190" s="16">
        <v>8</v>
      </c>
      <c r="N190" s="16">
        <v>1</v>
      </c>
      <c r="O190" s="16">
        <v>0</v>
      </c>
      <c r="P190" s="16">
        <v>1</v>
      </c>
      <c r="Q190" s="16">
        <v>0</v>
      </c>
      <c r="R190" s="16">
        <v>6</v>
      </c>
    </row>
    <row r="191" spans="1:18" x14ac:dyDescent="0.25">
      <c r="A191" s="71">
        <v>42244</v>
      </c>
      <c r="B191" s="20"/>
      <c r="C191" s="15" t="s">
        <v>90</v>
      </c>
      <c r="D191" s="16">
        <v>3</v>
      </c>
      <c r="E191" s="16">
        <v>6</v>
      </c>
      <c r="F191" s="98">
        <f t="shared" si="24"/>
        <v>0.5</v>
      </c>
      <c r="G191" s="16">
        <v>0</v>
      </c>
      <c r="H191" s="16">
        <v>1</v>
      </c>
      <c r="I191" s="98">
        <f t="shared" si="25"/>
        <v>0</v>
      </c>
      <c r="J191" s="16">
        <v>1</v>
      </c>
      <c r="K191" s="16">
        <v>1</v>
      </c>
      <c r="L191" s="98">
        <f t="shared" si="26"/>
        <v>1</v>
      </c>
      <c r="M191" s="16">
        <v>3</v>
      </c>
      <c r="N191" s="16">
        <v>6</v>
      </c>
      <c r="O191" s="16">
        <v>2</v>
      </c>
      <c r="P191" s="16">
        <v>4</v>
      </c>
      <c r="Q191" s="16">
        <v>0</v>
      </c>
      <c r="R191" s="16">
        <v>7</v>
      </c>
    </row>
    <row r="192" spans="1:18" x14ac:dyDescent="0.25">
      <c r="A192" s="71">
        <v>42244</v>
      </c>
      <c r="B192" s="20"/>
      <c r="C192" s="15" t="s">
        <v>89</v>
      </c>
      <c r="D192" s="16">
        <v>3</v>
      </c>
      <c r="E192" s="16">
        <v>9</v>
      </c>
      <c r="F192" s="98">
        <f t="shared" si="24"/>
        <v>0.33333333333333331</v>
      </c>
      <c r="G192" s="16">
        <v>0</v>
      </c>
      <c r="H192" s="16">
        <v>1</v>
      </c>
      <c r="I192" s="98">
        <f t="shared" si="25"/>
        <v>0</v>
      </c>
      <c r="J192" s="16">
        <v>2</v>
      </c>
      <c r="K192" s="16">
        <v>2</v>
      </c>
      <c r="L192" s="98">
        <f t="shared" si="26"/>
        <v>1</v>
      </c>
      <c r="M192" s="16">
        <v>7</v>
      </c>
      <c r="N192" s="16">
        <v>1</v>
      </c>
      <c r="O192" s="16">
        <v>0</v>
      </c>
      <c r="P192" s="16">
        <v>4</v>
      </c>
      <c r="Q192" s="16">
        <v>1</v>
      </c>
      <c r="R192" s="16">
        <v>8</v>
      </c>
    </row>
    <row r="193" spans="1:18" x14ac:dyDescent="0.25">
      <c r="A193" s="71">
        <v>42244</v>
      </c>
      <c r="B193" s="20"/>
      <c r="C193" s="15" t="s">
        <v>33</v>
      </c>
      <c r="D193" s="16">
        <v>3</v>
      </c>
      <c r="E193" s="16">
        <v>12</v>
      </c>
      <c r="F193" s="98">
        <f t="shared" si="24"/>
        <v>0.25</v>
      </c>
      <c r="G193" s="16">
        <v>1</v>
      </c>
      <c r="H193" s="16">
        <v>5</v>
      </c>
      <c r="I193" s="98">
        <f t="shared" si="25"/>
        <v>0.2</v>
      </c>
      <c r="J193" s="16">
        <v>6</v>
      </c>
      <c r="K193" s="16">
        <v>6</v>
      </c>
      <c r="L193" s="98">
        <f t="shared" si="26"/>
        <v>1</v>
      </c>
      <c r="M193" s="16">
        <v>4</v>
      </c>
      <c r="N193" s="16">
        <v>2</v>
      </c>
      <c r="O193" s="16">
        <v>2</v>
      </c>
      <c r="P193" s="16">
        <v>1</v>
      </c>
      <c r="Q193" s="16">
        <v>0</v>
      </c>
      <c r="R193" s="16">
        <v>13</v>
      </c>
    </row>
    <row r="194" spans="1:18" x14ac:dyDescent="0.25">
      <c r="A194" s="71">
        <v>42244</v>
      </c>
      <c r="B194" s="20"/>
      <c r="C194" s="15" t="s">
        <v>57</v>
      </c>
      <c r="D194" s="16">
        <v>8</v>
      </c>
      <c r="E194" s="16">
        <v>13</v>
      </c>
      <c r="F194" s="98">
        <f t="shared" si="24"/>
        <v>0.61538461538461542</v>
      </c>
      <c r="G194" s="16">
        <v>0</v>
      </c>
      <c r="H194" s="16">
        <v>0</v>
      </c>
      <c r="I194" s="98">
        <f t="shared" si="25"/>
        <v>0</v>
      </c>
      <c r="J194" s="16">
        <v>2</v>
      </c>
      <c r="K194" s="16">
        <v>4</v>
      </c>
      <c r="L194" s="98">
        <f t="shared" si="26"/>
        <v>0.5</v>
      </c>
      <c r="M194" s="16">
        <v>1</v>
      </c>
      <c r="N194" s="16">
        <v>1</v>
      </c>
      <c r="O194" s="16">
        <v>3</v>
      </c>
      <c r="P194" s="16">
        <v>1</v>
      </c>
      <c r="Q194" s="16">
        <v>0</v>
      </c>
      <c r="R194" s="16">
        <v>18</v>
      </c>
    </row>
    <row r="195" spans="1:18" x14ac:dyDescent="0.25">
      <c r="A195" s="71">
        <v>42244</v>
      </c>
      <c r="B195" s="20"/>
      <c r="C195" s="15" t="s">
        <v>86</v>
      </c>
      <c r="D195" s="16">
        <v>2</v>
      </c>
      <c r="E195" s="16">
        <v>7</v>
      </c>
      <c r="F195" s="98">
        <f t="shared" si="24"/>
        <v>0.2857142857142857</v>
      </c>
      <c r="G195" s="16">
        <v>0</v>
      </c>
      <c r="H195" s="16">
        <v>1</v>
      </c>
      <c r="I195" s="98">
        <f t="shared" si="25"/>
        <v>0</v>
      </c>
      <c r="J195" s="16">
        <v>3</v>
      </c>
      <c r="K195" s="16">
        <v>3</v>
      </c>
      <c r="L195" s="98">
        <f t="shared" si="26"/>
        <v>1</v>
      </c>
      <c r="M195" s="16">
        <v>4</v>
      </c>
      <c r="N195" s="16">
        <v>0</v>
      </c>
      <c r="O195" s="16">
        <v>0</v>
      </c>
      <c r="P195" s="16">
        <v>4</v>
      </c>
      <c r="Q195" s="16">
        <v>1</v>
      </c>
      <c r="R195" s="16">
        <v>7</v>
      </c>
    </row>
    <row r="196" spans="1:18" x14ac:dyDescent="0.25">
      <c r="A196" s="21">
        <v>42245</v>
      </c>
      <c r="B196" s="20"/>
      <c r="C196" s="20" t="s">
        <v>56</v>
      </c>
      <c r="D196" s="99">
        <v>5</v>
      </c>
      <c r="E196" s="99">
        <v>11</v>
      </c>
      <c r="F196" s="98">
        <f t="shared" si="24"/>
        <v>0.45454545454545453</v>
      </c>
      <c r="G196" s="99">
        <v>1</v>
      </c>
      <c r="H196" s="99">
        <v>3</v>
      </c>
      <c r="I196" s="98">
        <f t="shared" si="25"/>
        <v>0.33333333333333331</v>
      </c>
      <c r="J196" s="99">
        <v>6</v>
      </c>
      <c r="K196" s="99">
        <v>7</v>
      </c>
      <c r="L196" s="98">
        <f t="shared" si="26"/>
        <v>0.8571428571428571</v>
      </c>
      <c r="M196" s="99">
        <v>6</v>
      </c>
      <c r="N196" s="99">
        <v>7</v>
      </c>
      <c r="O196" s="99">
        <v>2</v>
      </c>
      <c r="P196" s="99">
        <v>0</v>
      </c>
      <c r="Q196" s="99">
        <v>0</v>
      </c>
      <c r="R196" s="99">
        <v>17</v>
      </c>
    </row>
    <row r="197" spans="1:18" x14ac:dyDescent="0.25">
      <c r="A197" s="21">
        <v>42245</v>
      </c>
      <c r="B197" s="20"/>
      <c r="C197" s="20" t="s">
        <v>53</v>
      </c>
      <c r="D197" s="99">
        <v>6</v>
      </c>
      <c r="E197" s="99">
        <v>9</v>
      </c>
      <c r="F197" s="98">
        <f t="shared" si="24"/>
        <v>0.66666666666666663</v>
      </c>
      <c r="G197" s="99">
        <v>0</v>
      </c>
      <c r="H197" s="99">
        <v>0</v>
      </c>
      <c r="I197" s="98">
        <f t="shared" si="25"/>
        <v>0</v>
      </c>
      <c r="J197" s="99">
        <v>1</v>
      </c>
      <c r="K197" s="99">
        <v>1</v>
      </c>
      <c r="L197" s="98">
        <f t="shared" si="26"/>
        <v>1</v>
      </c>
      <c r="M197" s="99">
        <v>7</v>
      </c>
      <c r="N197" s="99">
        <v>3</v>
      </c>
      <c r="O197" s="99">
        <v>1</v>
      </c>
      <c r="P197" s="99">
        <v>1</v>
      </c>
      <c r="Q197" s="99">
        <v>0</v>
      </c>
      <c r="R197" s="99">
        <v>13</v>
      </c>
    </row>
    <row r="198" spans="1:18" x14ac:dyDescent="0.25">
      <c r="A198" s="14">
        <v>42245</v>
      </c>
      <c r="B198" s="15"/>
      <c r="C198" s="15" t="s">
        <v>90</v>
      </c>
      <c r="D198" s="16">
        <v>2</v>
      </c>
      <c r="E198" s="16">
        <v>5</v>
      </c>
      <c r="F198" s="98">
        <f t="shared" si="24"/>
        <v>0.4</v>
      </c>
      <c r="G198" s="16">
        <v>1</v>
      </c>
      <c r="H198" s="16">
        <v>2</v>
      </c>
      <c r="I198" s="98">
        <f t="shared" si="25"/>
        <v>0.5</v>
      </c>
      <c r="J198" s="16">
        <v>1</v>
      </c>
      <c r="K198" s="16">
        <v>2</v>
      </c>
      <c r="L198" s="98">
        <f t="shared" si="26"/>
        <v>0.5</v>
      </c>
      <c r="M198" s="16">
        <v>1</v>
      </c>
      <c r="N198" s="16">
        <v>2</v>
      </c>
      <c r="O198" s="16">
        <v>1</v>
      </c>
      <c r="P198" s="16">
        <v>2</v>
      </c>
      <c r="Q198" s="16">
        <v>0</v>
      </c>
      <c r="R198" s="16">
        <v>6</v>
      </c>
    </row>
    <row r="199" spans="1:18" x14ac:dyDescent="0.25">
      <c r="A199" s="71">
        <v>42246</v>
      </c>
      <c r="B199" s="20"/>
      <c r="C199" s="15" t="s">
        <v>57</v>
      </c>
      <c r="D199" s="16">
        <v>5</v>
      </c>
      <c r="E199" s="16">
        <v>12</v>
      </c>
      <c r="F199" s="98">
        <f t="shared" si="24"/>
        <v>0.41666666666666669</v>
      </c>
      <c r="G199" s="16">
        <v>0</v>
      </c>
      <c r="H199" s="16">
        <v>0</v>
      </c>
      <c r="I199" s="98">
        <f t="shared" si="25"/>
        <v>0</v>
      </c>
      <c r="J199" s="16">
        <v>1</v>
      </c>
      <c r="K199" s="16">
        <v>2</v>
      </c>
      <c r="L199" s="98">
        <f t="shared" si="26"/>
        <v>0.5</v>
      </c>
      <c r="M199" s="16">
        <v>4</v>
      </c>
      <c r="N199" s="16">
        <v>2</v>
      </c>
      <c r="O199" s="16">
        <v>0</v>
      </c>
      <c r="P199" s="16">
        <v>3</v>
      </c>
      <c r="Q199" s="16">
        <v>0</v>
      </c>
      <c r="R199" s="16">
        <v>11</v>
      </c>
    </row>
    <row r="200" spans="1:18" x14ac:dyDescent="0.25">
      <c r="A200" s="71">
        <v>42246</v>
      </c>
      <c r="B200" s="20"/>
      <c r="C200" s="15" t="s">
        <v>154</v>
      </c>
      <c r="D200" s="16">
        <v>4</v>
      </c>
      <c r="E200" s="16">
        <v>12</v>
      </c>
      <c r="F200" s="98">
        <f t="shared" si="24"/>
        <v>0.33333333333333331</v>
      </c>
      <c r="G200" s="16">
        <v>0</v>
      </c>
      <c r="H200" s="16">
        <v>0</v>
      </c>
      <c r="I200" s="98">
        <f t="shared" si="25"/>
        <v>0</v>
      </c>
      <c r="J200" s="16">
        <v>6</v>
      </c>
      <c r="K200" s="16">
        <v>7</v>
      </c>
      <c r="L200" s="98">
        <f t="shared" si="26"/>
        <v>0.8571428571428571</v>
      </c>
      <c r="M200" s="16">
        <v>13</v>
      </c>
      <c r="N200" s="16">
        <v>0</v>
      </c>
      <c r="O200" s="16">
        <v>0</v>
      </c>
      <c r="P200" s="16">
        <v>0</v>
      </c>
      <c r="Q200" s="16">
        <v>2</v>
      </c>
      <c r="R200" s="16">
        <v>14</v>
      </c>
    </row>
    <row r="201" spans="1:18" x14ac:dyDescent="0.25">
      <c r="A201" s="71">
        <v>42246</v>
      </c>
      <c r="B201" s="20"/>
      <c r="C201" s="15" t="s">
        <v>33</v>
      </c>
      <c r="D201" s="16">
        <v>6</v>
      </c>
      <c r="E201" s="16">
        <v>18</v>
      </c>
      <c r="F201" s="98">
        <f t="shared" si="24"/>
        <v>0.33333333333333331</v>
      </c>
      <c r="G201" s="16">
        <v>0</v>
      </c>
      <c r="H201" s="16">
        <v>2</v>
      </c>
      <c r="I201" s="98">
        <f t="shared" si="25"/>
        <v>0</v>
      </c>
      <c r="J201" s="16">
        <v>3</v>
      </c>
      <c r="K201" s="16">
        <v>3</v>
      </c>
      <c r="L201" s="98">
        <f t="shared" si="26"/>
        <v>1</v>
      </c>
      <c r="M201" s="16">
        <v>7</v>
      </c>
      <c r="N201" s="16">
        <v>1</v>
      </c>
      <c r="O201" s="16">
        <v>0</v>
      </c>
      <c r="P201" s="16">
        <v>0</v>
      </c>
      <c r="Q201" s="16">
        <v>0</v>
      </c>
      <c r="R201" s="16">
        <v>15</v>
      </c>
    </row>
    <row r="202" spans="1:18" x14ac:dyDescent="0.25">
      <c r="A202" s="71">
        <v>42246</v>
      </c>
      <c r="B202" s="20"/>
      <c r="C202" s="15" t="s">
        <v>89</v>
      </c>
      <c r="D202" s="16">
        <v>8</v>
      </c>
      <c r="E202" s="16">
        <v>15</v>
      </c>
      <c r="F202" s="98">
        <f t="shared" si="24"/>
        <v>0.53333333333333333</v>
      </c>
      <c r="G202" s="16">
        <v>0</v>
      </c>
      <c r="H202" s="16">
        <v>0</v>
      </c>
      <c r="I202" s="98">
        <f t="shared" si="25"/>
        <v>0</v>
      </c>
      <c r="J202" s="16">
        <v>8</v>
      </c>
      <c r="K202" s="16">
        <v>8</v>
      </c>
      <c r="L202" s="98">
        <f t="shared" si="26"/>
        <v>1</v>
      </c>
      <c r="M202" s="16">
        <v>9</v>
      </c>
      <c r="N202" s="16">
        <v>0</v>
      </c>
      <c r="O202" s="16">
        <v>0</v>
      </c>
      <c r="P202" s="16">
        <v>2</v>
      </c>
      <c r="Q202" s="16">
        <v>1</v>
      </c>
      <c r="R202" s="16">
        <v>24</v>
      </c>
    </row>
    <row r="203" spans="1:18" x14ac:dyDescent="0.25">
      <c r="A203" s="71">
        <v>42246</v>
      </c>
      <c r="B203" s="20"/>
      <c r="C203" s="15" t="s">
        <v>86</v>
      </c>
      <c r="D203" s="16">
        <v>2</v>
      </c>
      <c r="E203" s="16">
        <v>6</v>
      </c>
      <c r="F203" s="98">
        <f t="shared" si="24"/>
        <v>0.33333333333333331</v>
      </c>
      <c r="G203" s="16">
        <v>0</v>
      </c>
      <c r="H203" s="16">
        <v>1</v>
      </c>
      <c r="I203" s="98">
        <f t="shared" si="25"/>
        <v>0</v>
      </c>
      <c r="J203" s="16">
        <v>14</v>
      </c>
      <c r="K203" s="16">
        <v>14</v>
      </c>
      <c r="L203" s="98">
        <f t="shared" si="26"/>
        <v>1</v>
      </c>
      <c r="M203" s="16">
        <v>5</v>
      </c>
      <c r="N203" s="16">
        <v>2</v>
      </c>
      <c r="O203" s="16">
        <v>1</v>
      </c>
      <c r="P203" s="16">
        <v>1</v>
      </c>
      <c r="Q203" s="16">
        <v>0</v>
      </c>
      <c r="R203" s="16">
        <v>18</v>
      </c>
    </row>
    <row r="204" spans="1:18" x14ac:dyDescent="0.25">
      <c r="A204" s="71">
        <v>42248</v>
      </c>
      <c r="B204" s="20"/>
      <c r="C204" s="15" t="s">
        <v>53</v>
      </c>
      <c r="D204" s="16">
        <v>2</v>
      </c>
      <c r="E204" s="16">
        <v>7</v>
      </c>
      <c r="F204" s="100">
        <f t="shared" ref="F204:F218" si="27">IF(E204=0,0,D204/E204)</f>
        <v>0.2857142857142857</v>
      </c>
      <c r="G204" s="16">
        <v>0</v>
      </c>
      <c r="H204" s="16">
        <v>0</v>
      </c>
      <c r="I204" s="100">
        <f t="shared" ref="I204:I218" si="28">IF(H204=0,0,G204/H204)</f>
        <v>0</v>
      </c>
      <c r="J204" s="16">
        <v>0</v>
      </c>
      <c r="K204" s="16">
        <v>0</v>
      </c>
      <c r="L204" s="100">
        <f t="shared" ref="L204:L218" si="29">IF(K204=0,0,J204/K204)</f>
        <v>0</v>
      </c>
      <c r="M204" s="16">
        <v>6</v>
      </c>
      <c r="N204" s="16">
        <v>1</v>
      </c>
      <c r="O204" s="16">
        <v>1</v>
      </c>
      <c r="P204" s="16">
        <v>4</v>
      </c>
      <c r="Q204" s="16">
        <v>0</v>
      </c>
      <c r="R204" s="16">
        <v>4</v>
      </c>
    </row>
    <row r="205" spans="1:18" x14ac:dyDescent="0.25">
      <c r="A205" s="71">
        <v>42248</v>
      </c>
      <c r="B205" s="20"/>
      <c r="C205" s="15" t="s">
        <v>90</v>
      </c>
      <c r="D205" s="16">
        <v>1</v>
      </c>
      <c r="E205" s="16">
        <v>6</v>
      </c>
      <c r="F205" s="100">
        <f t="shared" si="27"/>
        <v>0.16666666666666666</v>
      </c>
      <c r="G205" s="16">
        <v>0</v>
      </c>
      <c r="H205" s="16">
        <v>1</v>
      </c>
      <c r="I205" s="100">
        <f t="shared" si="28"/>
        <v>0</v>
      </c>
      <c r="J205" s="16">
        <v>7</v>
      </c>
      <c r="K205" s="16">
        <v>9</v>
      </c>
      <c r="L205" s="100">
        <f t="shared" si="29"/>
        <v>0.77777777777777779</v>
      </c>
      <c r="M205" s="16">
        <v>3</v>
      </c>
      <c r="N205" s="16">
        <v>4</v>
      </c>
      <c r="O205" s="16">
        <v>0</v>
      </c>
      <c r="P205" s="16">
        <v>1</v>
      </c>
      <c r="Q205" s="16">
        <v>0</v>
      </c>
      <c r="R205" s="16">
        <v>9</v>
      </c>
    </row>
    <row r="206" spans="1:18" x14ac:dyDescent="0.25">
      <c r="A206" s="71">
        <v>42250</v>
      </c>
      <c r="B206" s="20"/>
      <c r="C206" s="15" t="s">
        <v>86</v>
      </c>
      <c r="D206" s="16">
        <v>6</v>
      </c>
      <c r="E206" s="16">
        <v>14</v>
      </c>
      <c r="F206" s="100">
        <f t="shared" si="27"/>
        <v>0.42857142857142855</v>
      </c>
      <c r="G206" s="16">
        <v>1</v>
      </c>
      <c r="H206" s="16">
        <v>4</v>
      </c>
      <c r="I206" s="100">
        <f t="shared" si="28"/>
        <v>0.25</v>
      </c>
      <c r="J206" s="16">
        <v>3</v>
      </c>
      <c r="K206" s="16">
        <v>4</v>
      </c>
      <c r="L206" s="100">
        <f t="shared" si="29"/>
        <v>0.75</v>
      </c>
      <c r="M206" s="16">
        <v>4</v>
      </c>
      <c r="N206" s="16">
        <v>6</v>
      </c>
      <c r="O206" s="16">
        <v>2</v>
      </c>
      <c r="P206" s="16">
        <v>4</v>
      </c>
      <c r="Q206" s="16">
        <v>0</v>
      </c>
      <c r="R206" s="16">
        <v>16</v>
      </c>
    </row>
    <row r="207" spans="1:18" x14ac:dyDescent="0.25">
      <c r="A207" s="71">
        <v>42250</v>
      </c>
      <c r="B207" s="20"/>
      <c r="C207" s="15" t="s">
        <v>90</v>
      </c>
      <c r="D207" s="16">
        <v>2</v>
      </c>
      <c r="E207" s="16">
        <v>6</v>
      </c>
      <c r="F207" s="100">
        <f t="shared" si="27"/>
        <v>0.33333333333333331</v>
      </c>
      <c r="G207" s="16">
        <v>0</v>
      </c>
      <c r="H207" s="16">
        <v>0</v>
      </c>
      <c r="I207" s="100">
        <f t="shared" si="28"/>
        <v>0</v>
      </c>
      <c r="J207" s="16">
        <v>3</v>
      </c>
      <c r="K207" s="16">
        <v>4</v>
      </c>
      <c r="L207" s="100">
        <f t="shared" si="29"/>
        <v>0.75</v>
      </c>
      <c r="M207" s="16">
        <v>1</v>
      </c>
      <c r="N207" s="16">
        <v>2</v>
      </c>
      <c r="O207" s="16">
        <v>2</v>
      </c>
      <c r="P207" s="16">
        <v>2</v>
      </c>
      <c r="Q207" s="16">
        <v>0</v>
      </c>
      <c r="R207" s="16">
        <v>7</v>
      </c>
    </row>
    <row r="208" spans="1:18" x14ac:dyDescent="0.25">
      <c r="A208" s="71">
        <v>42250</v>
      </c>
      <c r="B208" s="20"/>
      <c r="C208" s="15" t="s">
        <v>56</v>
      </c>
      <c r="D208" s="16">
        <v>8</v>
      </c>
      <c r="E208" s="16">
        <v>12</v>
      </c>
      <c r="F208" s="100">
        <f t="shared" si="27"/>
        <v>0.66666666666666663</v>
      </c>
      <c r="G208" s="16">
        <v>5</v>
      </c>
      <c r="H208" s="16">
        <v>5</v>
      </c>
      <c r="I208" s="100">
        <f t="shared" si="28"/>
        <v>1</v>
      </c>
      <c r="J208" s="16">
        <v>0</v>
      </c>
      <c r="K208" s="16">
        <v>0</v>
      </c>
      <c r="L208" s="100">
        <f t="shared" si="29"/>
        <v>0</v>
      </c>
      <c r="M208" s="16">
        <v>5</v>
      </c>
      <c r="N208" s="16">
        <v>5</v>
      </c>
      <c r="O208" s="16">
        <v>0</v>
      </c>
      <c r="P208" s="16">
        <v>1</v>
      </c>
      <c r="Q208" s="16">
        <v>1</v>
      </c>
      <c r="R208" s="16">
        <v>21</v>
      </c>
    </row>
    <row r="209" spans="1:18" x14ac:dyDescent="0.25">
      <c r="A209" s="71">
        <v>42250</v>
      </c>
      <c r="B209" s="20"/>
      <c r="C209" s="15" t="s">
        <v>89</v>
      </c>
      <c r="D209" s="16">
        <v>4</v>
      </c>
      <c r="E209" s="16">
        <v>9</v>
      </c>
      <c r="F209" s="100">
        <f t="shared" si="27"/>
        <v>0.44444444444444442</v>
      </c>
      <c r="G209" s="16">
        <v>0</v>
      </c>
      <c r="H209" s="16">
        <v>0</v>
      </c>
      <c r="I209" s="100">
        <f t="shared" si="28"/>
        <v>0</v>
      </c>
      <c r="J209" s="16">
        <v>4</v>
      </c>
      <c r="K209" s="16">
        <v>4</v>
      </c>
      <c r="L209" s="100">
        <f t="shared" si="29"/>
        <v>1</v>
      </c>
      <c r="M209" s="16">
        <v>7</v>
      </c>
      <c r="N209" s="16">
        <v>3</v>
      </c>
      <c r="O209" s="16">
        <v>0</v>
      </c>
      <c r="P209" s="16">
        <v>1</v>
      </c>
      <c r="Q209" s="16">
        <v>0</v>
      </c>
      <c r="R209" s="16">
        <v>12</v>
      </c>
    </row>
    <row r="210" spans="1:18" x14ac:dyDescent="0.25">
      <c r="A210" s="71">
        <v>42251</v>
      </c>
      <c r="B210" s="20"/>
      <c r="C210" s="15" t="s">
        <v>154</v>
      </c>
      <c r="D210" s="16">
        <v>7</v>
      </c>
      <c r="E210" s="16">
        <v>15</v>
      </c>
      <c r="F210" s="100">
        <f t="shared" si="27"/>
        <v>0.46666666666666667</v>
      </c>
      <c r="G210" s="16">
        <v>0</v>
      </c>
      <c r="H210" s="16">
        <v>0</v>
      </c>
      <c r="I210" s="100">
        <f t="shared" si="28"/>
        <v>0</v>
      </c>
      <c r="J210" s="16">
        <v>4</v>
      </c>
      <c r="K210" s="16">
        <v>5</v>
      </c>
      <c r="L210" s="100">
        <f t="shared" si="29"/>
        <v>0.8</v>
      </c>
      <c r="M210" s="16">
        <v>14</v>
      </c>
      <c r="N210" s="16">
        <v>0</v>
      </c>
      <c r="O210" s="16">
        <v>2</v>
      </c>
      <c r="P210" s="16">
        <v>3</v>
      </c>
      <c r="Q210" s="16">
        <v>2</v>
      </c>
      <c r="R210" s="16">
        <v>18</v>
      </c>
    </row>
    <row r="211" spans="1:18" x14ac:dyDescent="0.25">
      <c r="A211" s="71">
        <v>42251</v>
      </c>
      <c r="B211" s="20"/>
      <c r="C211" s="15" t="s">
        <v>57</v>
      </c>
      <c r="D211" s="16">
        <v>3</v>
      </c>
      <c r="E211" s="16">
        <v>8</v>
      </c>
      <c r="F211" s="100">
        <f t="shared" si="27"/>
        <v>0.375</v>
      </c>
      <c r="G211" s="16">
        <v>0</v>
      </c>
      <c r="H211" s="16">
        <v>0</v>
      </c>
      <c r="I211" s="100">
        <f t="shared" si="28"/>
        <v>0</v>
      </c>
      <c r="J211" s="16">
        <v>0</v>
      </c>
      <c r="K211" s="16">
        <v>0</v>
      </c>
      <c r="L211" s="100">
        <f t="shared" si="29"/>
        <v>0</v>
      </c>
      <c r="M211" s="16">
        <v>4</v>
      </c>
      <c r="N211" s="16">
        <v>0</v>
      </c>
      <c r="O211" s="16">
        <v>0</v>
      </c>
      <c r="P211" s="16">
        <v>0</v>
      </c>
      <c r="Q211" s="16">
        <v>0</v>
      </c>
      <c r="R211" s="16">
        <v>6</v>
      </c>
    </row>
    <row r="212" spans="1:18" x14ac:dyDescent="0.25">
      <c r="A212" s="71">
        <v>42251</v>
      </c>
      <c r="B212" s="20"/>
      <c r="C212" s="15" t="s">
        <v>33</v>
      </c>
      <c r="D212" s="16">
        <v>3</v>
      </c>
      <c r="E212" s="16">
        <v>10</v>
      </c>
      <c r="F212" s="100">
        <f t="shared" si="27"/>
        <v>0.3</v>
      </c>
      <c r="G212" s="16">
        <v>1</v>
      </c>
      <c r="H212" s="16">
        <v>2</v>
      </c>
      <c r="I212" s="100">
        <f t="shared" si="28"/>
        <v>0.5</v>
      </c>
      <c r="J212" s="16">
        <v>4</v>
      </c>
      <c r="K212" s="16">
        <v>4</v>
      </c>
      <c r="L212" s="100">
        <f t="shared" si="29"/>
        <v>1</v>
      </c>
      <c r="M212" s="16">
        <v>2</v>
      </c>
      <c r="N212" s="16">
        <v>4</v>
      </c>
      <c r="O212" s="16">
        <v>3</v>
      </c>
      <c r="P212" s="16">
        <v>2</v>
      </c>
      <c r="Q212" s="16">
        <v>2</v>
      </c>
      <c r="R212" s="16">
        <v>11</v>
      </c>
    </row>
    <row r="213" spans="1:18" x14ac:dyDescent="0.25">
      <c r="A213" s="71">
        <v>42252</v>
      </c>
      <c r="B213" s="20"/>
      <c r="C213" s="15" t="s">
        <v>33</v>
      </c>
      <c r="D213" s="16">
        <v>2</v>
      </c>
      <c r="E213" s="16">
        <v>6</v>
      </c>
      <c r="F213" s="101">
        <f>IF(E213=0,0,D213/E213)</f>
        <v>0.33333333333333331</v>
      </c>
      <c r="G213" s="16">
        <v>0</v>
      </c>
      <c r="H213" s="16">
        <v>1</v>
      </c>
      <c r="I213" s="101">
        <f>IF(H213=0,0,G213/H213)</f>
        <v>0</v>
      </c>
      <c r="J213" s="16">
        <v>3</v>
      </c>
      <c r="K213" s="16">
        <v>4</v>
      </c>
      <c r="L213" s="101">
        <f>IF(K213=0,0,J213/K213)</f>
        <v>0.75</v>
      </c>
      <c r="M213" s="16">
        <v>2</v>
      </c>
      <c r="N213" s="16">
        <v>2</v>
      </c>
      <c r="O213" s="16">
        <v>1</v>
      </c>
      <c r="P213" s="16">
        <v>0</v>
      </c>
      <c r="Q213" s="16">
        <v>1</v>
      </c>
      <c r="R213" s="16">
        <v>7</v>
      </c>
    </row>
    <row r="214" spans="1:18" x14ac:dyDescent="0.25">
      <c r="A214" s="71">
        <v>42253</v>
      </c>
      <c r="B214" s="20"/>
      <c r="C214" s="15" t="s">
        <v>53</v>
      </c>
      <c r="D214" s="16">
        <v>5</v>
      </c>
      <c r="E214" s="16">
        <v>9</v>
      </c>
      <c r="F214" s="101">
        <f t="shared" si="27"/>
        <v>0.55555555555555558</v>
      </c>
      <c r="G214" s="16">
        <v>0</v>
      </c>
      <c r="H214" s="16">
        <v>0</v>
      </c>
      <c r="I214" s="101">
        <f t="shared" si="28"/>
        <v>0</v>
      </c>
      <c r="J214" s="16">
        <v>6</v>
      </c>
      <c r="K214" s="16">
        <v>8</v>
      </c>
      <c r="L214" s="101">
        <f t="shared" si="29"/>
        <v>0.75</v>
      </c>
      <c r="M214" s="16">
        <v>10</v>
      </c>
      <c r="N214" s="16">
        <v>6</v>
      </c>
      <c r="O214" s="16">
        <v>1</v>
      </c>
      <c r="P214" s="16">
        <v>3</v>
      </c>
      <c r="Q214" s="16">
        <v>0</v>
      </c>
      <c r="R214" s="16">
        <v>16</v>
      </c>
    </row>
    <row r="215" spans="1:18" x14ac:dyDescent="0.25">
      <c r="A215" s="71">
        <v>42253</v>
      </c>
      <c r="B215" s="20"/>
      <c r="C215" s="15" t="s">
        <v>56</v>
      </c>
      <c r="D215" s="16">
        <v>5</v>
      </c>
      <c r="E215" s="16">
        <v>7</v>
      </c>
      <c r="F215" s="101">
        <f t="shared" si="27"/>
        <v>0.7142857142857143</v>
      </c>
      <c r="G215" s="16">
        <v>0</v>
      </c>
      <c r="H215" s="16">
        <v>1</v>
      </c>
      <c r="I215" s="101">
        <f t="shared" si="28"/>
        <v>0</v>
      </c>
      <c r="J215" s="16">
        <v>0</v>
      </c>
      <c r="K215" s="16">
        <v>0</v>
      </c>
      <c r="L215" s="101">
        <f t="shared" si="29"/>
        <v>0</v>
      </c>
      <c r="M215" s="16">
        <v>3</v>
      </c>
      <c r="N215" s="16">
        <v>6</v>
      </c>
      <c r="O215" s="16">
        <v>1</v>
      </c>
      <c r="P215" s="16">
        <v>2</v>
      </c>
      <c r="Q215" s="16">
        <v>0</v>
      </c>
      <c r="R215" s="16">
        <v>10</v>
      </c>
    </row>
    <row r="216" spans="1:18" x14ac:dyDescent="0.25">
      <c r="A216" s="71">
        <v>42253</v>
      </c>
      <c r="B216" s="20"/>
      <c r="C216" s="15" t="s">
        <v>154</v>
      </c>
      <c r="D216" s="16">
        <v>7</v>
      </c>
      <c r="E216" s="16">
        <v>12</v>
      </c>
      <c r="F216" s="101">
        <f t="shared" si="27"/>
        <v>0.58333333333333337</v>
      </c>
      <c r="G216" s="16">
        <v>0</v>
      </c>
      <c r="H216" s="16">
        <v>0</v>
      </c>
      <c r="I216" s="101">
        <f t="shared" si="28"/>
        <v>0</v>
      </c>
      <c r="J216" s="16">
        <v>5</v>
      </c>
      <c r="K216" s="16">
        <v>5</v>
      </c>
      <c r="L216" s="101">
        <f t="shared" si="29"/>
        <v>1</v>
      </c>
      <c r="M216" s="16">
        <v>9</v>
      </c>
      <c r="N216" s="16">
        <v>0</v>
      </c>
      <c r="O216" s="16">
        <v>1</v>
      </c>
      <c r="P216" s="16">
        <v>3</v>
      </c>
      <c r="Q216" s="16">
        <v>3</v>
      </c>
      <c r="R216" s="16">
        <v>19</v>
      </c>
    </row>
    <row r="217" spans="1:18" x14ac:dyDescent="0.25">
      <c r="A217" s="71">
        <v>42253</v>
      </c>
      <c r="B217" s="20"/>
      <c r="C217" s="15" t="s">
        <v>90</v>
      </c>
      <c r="D217" s="16">
        <v>7</v>
      </c>
      <c r="E217" s="16">
        <v>10</v>
      </c>
      <c r="F217" s="101">
        <f t="shared" si="27"/>
        <v>0.7</v>
      </c>
      <c r="G217" s="16">
        <v>2</v>
      </c>
      <c r="H217" s="16">
        <v>3</v>
      </c>
      <c r="I217" s="101">
        <f t="shared" si="28"/>
        <v>0.66666666666666663</v>
      </c>
      <c r="J217" s="16">
        <v>0</v>
      </c>
      <c r="K217" s="16">
        <v>0</v>
      </c>
      <c r="L217" s="101">
        <f t="shared" si="29"/>
        <v>0</v>
      </c>
      <c r="M217" s="16">
        <v>3</v>
      </c>
      <c r="N217" s="16">
        <v>7</v>
      </c>
      <c r="O217" s="16">
        <v>1</v>
      </c>
      <c r="P217" s="16">
        <v>1</v>
      </c>
      <c r="Q217" s="16">
        <v>0</v>
      </c>
      <c r="R217" s="16">
        <v>16</v>
      </c>
    </row>
    <row r="218" spans="1:18" x14ac:dyDescent="0.25">
      <c r="A218" s="71">
        <v>42253</v>
      </c>
      <c r="B218" s="20"/>
      <c r="C218" s="15" t="s">
        <v>89</v>
      </c>
      <c r="D218" s="16">
        <v>4</v>
      </c>
      <c r="E218" s="16">
        <v>8</v>
      </c>
      <c r="F218" s="101">
        <f t="shared" si="27"/>
        <v>0.5</v>
      </c>
      <c r="G218" s="16">
        <v>0</v>
      </c>
      <c r="H218" s="16">
        <v>0</v>
      </c>
      <c r="I218" s="101">
        <f t="shared" si="28"/>
        <v>0</v>
      </c>
      <c r="J218" s="16">
        <v>2</v>
      </c>
      <c r="K218" s="16">
        <v>2</v>
      </c>
      <c r="L218" s="101">
        <f t="shared" si="29"/>
        <v>1</v>
      </c>
      <c r="M218" s="16">
        <v>9</v>
      </c>
      <c r="N218" s="16">
        <v>3</v>
      </c>
      <c r="O218" s="16">
        <v>1</v>
      </c>
      <c r="P218" s="16">
        <v>2</v>
      </c>
      <c r="Q218" s="16">
        <v>3</v>
      </c>
      <c r="R218" s="16">
        <v>10</v>
      </c>
    </row>
    <row r="219" spans="1:18" x14ac:dyDescent="0.25">
      <c r="A219" s="21">
        <v>42255</v>
      </c>
      <c r="B219" s="20"/>
      <c r="C219" s="15" t="s">
        <v>57</v>
      </c>
      <c r="D219" s="16">
        <v>3</v>
      </c>
      <c r="E219" s="16">
        <v>12</v>
      </c>
      <c r="F219" s="109">
        <f t="shared" ref="F219:F237" si="30">IF(E219=0,0,D219/E219)</f>
        <v>0.25</v>
      </c>
      <c r="G219" s="16">
        <v>0</v>
      </c>
      <c r="H219" s="16">
        <v>0</v>
      </c>
      <c r="I219" s="109">
        <f t="shared" ref="I219:I237" si="31">IF(H219=0,0,G219/H219)</f>
        <v>0</v>
      </c>
      <c r="J219" s="16">
        <v>6</v>
      </c>
      <c r="K219" s="16">
        <v>7</v>
      </c>
      <c r="L219" s="109">
        <f t="shared" ref="L219:L237" si="32">IF(K219=0,0,J219/K219)</f>
        <v>0.8571428571428571</v>
      </c>
      <c r="M219" s="16">
        <v>4</v>
      </c>
      <c r="N219" s="16">
        <v>2</v>
      </c>
      <c r="O219" s="16">
        <v>4</v>
      </c>
      <c r="P219" s="16">
        <v>1</v>
      </c>
      <c r="Q219" s="16">
        <v>1</v>
      </c>
      <c r="R219" s="16">
        <v>12</v>
      </c>
    </row>
    <row r="220" spans="1:18" x14ac:dyDescent="0.25">
      <c r="A220" s="21">
        <v>42255</v>
      </c>
      <c r="B220" s="20"/>
      <c r="C220" s="15" t="s">
        <v>33</v>
      </c>
      <c r="D220" s="16">
        <v>9</v>
      </c>
      <c r="E220" s="16">
        <v>24</v>
      </c>
      <c r="F220" s="109">
        <f t="shared" si="30"/>
        <v>0.375</v>
      </c>
      <c r="G220" s="16">
        <v>1</v>
      </c>
      <c r="H220" s="16">
        <v>6</v>
      </c>
      <c r="I220" s="109">
        <f t="shared" si="31"/>
        <v>0.16666666666666666</v>
      </c>
      <c r="J220" s="16">
        <v>5</v>
      </c>
      <c r="K220" s="16">
        <v>6</v>
      </c>
      <c r="L220" s="109">
        <f t="shared" si="32"/>
        <v>0.83333333333333337</v>
      </c>
      <c r="M220" s="16">
        <v>9</v>
      </c>
      <c r="N220" s="16">
        <v>2</v>
      </c>
      <c r="O220" s="16">
        <v>1</v>
      </c>
      <c r="P220" s="16">
        <v>1</v>
      </c>
      <c r="Q220" s="16">
        <v>0</v>
      </c>
      <c r="R220" s="16">
        <v>24</v>
      </c>
    </row>
    <row r="221" spans="1:18" x14ac:dyDescent="0.25">
      <c r="A221" s="21">
        <v>42255</v>
      </c>
      <c r="B221" s="20"/>
      <c r="C221" s="15" t="s">
        <v>86</v>
      </c>
      <c r="D221" s="16">
        <v>6</v>
      </c>
      <c r="E221" s="16">
        <v>12</v>
      </c>
      <c r="F221" s="109">
        <f t="shared" si="30"/>
        <v>0.5</v>
      </c>
      <c r="G221" s="16">
        <v>0</v>
      </c>
      <c r="H221" s="16">
        <v>1</v>
      </c>
      <c r="I221" s="109">
        <f t="shared" si="31"/>
        <v>0</v>
      </c>
      <c r="J221" s="16">
        <v>1</v>
      </c>
      <c r="K221" s="16">
        <v>1</v>
      </c>
      <c r="L221" s="109">
        <f t="shared" si="32"/>
        <v>1</v>
      </c>
      <c r="M221" s="16">
        <v>1</v>
      </c>
      <c r="N221" s="16">
        <v>3</v>
      </c>
      <c r="O221" s="16">
        <v>0</v>
      </c>
      <c r="P221" s="16">
        <v>6</v>
      </c>
      <c r="Q221" s="16">
        <v>1</v>
      </c>
      <c r="R221" s="16">
        <v>13</v>
      </c>
    </row>
    <row r="222" spans="1:18" x14ac:dyDescent="0.25">
      <c r="A222" s="21">
        <v>42255</v>
      </c>
      <c r="B222" s="20"/>
      <c r="C222" s="15" t="s">
        <v>154</v>
      </c>
      <c r="D222" s="16">
        <v>5</v>
      </c>
      <c r="E222" s="16">
        <v>14</v>
      </c>
      <c r="F222" s="109">
        <f t="shared" si="30"/>
        <v>0.35714285714285715</v>
      </c>
      <c r="G222" s="16">
        <v>0</v>
      </c>
      <c r="H222" s="16">
        <v>0</v>
      </c>
      <c r="I222" s="109">
        <f t="shared" si="31"/>
        <v>0</v>
      </c>
      <c r="J222" s="16">
        <v>4</v>
      </c>
      <c r="K222" s="16">
        <v>6</v>
      </c>
      <c r="L222" s="109">
        <f t="shared" si="32"/>
        <v>0.66666666666666663</v>
      </c>
      <c r="M222" s="16">
        <v>4</v>
      </c>
      <c r="N222" s="16">
        <v>3</v>
      </c>
      <c r="O222" s="16">
        <v>2</v>
      </c>
      <c r="P222" s="16">
        <v>2</v>
      </c>
      <c r="Q222" s="16">
        <v>0</v>
      </c>
      <c r="R222" s="16">
        <v>14</v>
      </c>
    </row>
    <row r="223" spans="1:18" x14ac:dyDescent="0.25">
      <c r="A223" s="21">
        <v>42256</v>
      </c>
      <c r="B223" s="20"/>
      <c r="C223" s="15" t="s">
        <v>90</v>
      </c>
      <c r="D223" s="16">
        <v>4</v>
      </c>
      <c r="E223" s="16">
        <v>10</v>
      </c>
      <c r="F223" s="109">
        <f t="shared" si="30"/>
        <v>0.4</v>
      </c>
      <c r="G223" s="16">
        <v>1</v>
      </c>
      <c r="H223" s="16">
        <v>3</v>
      </c>
      <c r="I223" s="109">
        <f t="shared" si="31"/>
        <v>0.33333333333333331</v>
      </c>
      <c r="J223" s="16">
        <v>2</v>
      </c>
      <c r="K223" s="16">
        <v>2</v>
      </c>
      <c r="L223" s="109">
        <f t="shared" si="32"/>
        <v>1</v>
      </c>
      <c r="M223" s="16">
        <v>1</v>
      </c>
      <c r="N223" s="16">
        <v>4</v>
      </c>
      <c r="O223" s="16">
        <v>0</v>
      </c>
      <c r="P223" s="16">
        <v>3</v>
      </c>
      <c r="Q223" s="16">
        <v>0</v>
      </c>
      <c r="R223" s="16">
        <v>11</v>
      </c>
    </row>
    <row r="224" spans="1:18" x14ac:dyDescent="0.25">
      <c r="A224" s="21">
        <v>42256</v>
      </c>
      <c r="B224" s="20"/>
      <c r="C224" s="15" t="s">
        <v>89</v>
      </c>
      <c r="D224" s="16">
        <v>5</v>
      </c>
      <c r="E224" s="16">
        <v>7</v>
      </c>
      <c r="F224" s="109">
        <f t="shared" si="30"/>
        <v>0.7142857142857143</v>
      </c>
      <c r="G224" s="16">
        <v>0</v>
      </c>
      <c r="H224" s="16">
        <v>0</v>
      </c>
      <c r="I224" s="109">
        <f t="shared" si="31"/>
        <v>0</v>
      </c>
      <c r="J224" s="16">
        <v>4</v>
      </c>
      <c r="K224" s="16">
        <v>4</v>
      </c>
      <c r="L224" s="109">
        <f t="shared" si="32"/>
        <v>1</v>
      </c>
      <c r="M224" s="16">
        <v>6</v>
      </c>
      <c r="N224" s="16">
        <v>0</v>
      </c>
      <c r="O224" s="16">
        <v>0</v>
      </c>
      <c r="P224" s="16">
        <v>0</v>
      </c>
      <c r="Q224" s="16">
        <v>0</v>
      </c>
      <c r="R224" s="16">
        <v>14</v>
      </c>
    </row>
    <row r="225" spans="1:18" x14ac:dyDescent="0.25">
      <c r="A225" s="21">
        <v>42256</v>
      </c>
      <c r="B225" s="20"/>
      <c r="C225" s="15" t="s">
        <v>53</v>
      </c>
      <c r="D225" s="16">
        <v>7</v>
      </c>
      <c r="E225" s="16">
        <v>14</v>
      </c>
      <c r="F225" s="109">
        <f t="shared" si="30"/>
        <v>0.5</v>
      </c>
      <c r="G225" s="16">
        <v>0</v>
      </c>
      <c r="H225" s="16">
        <v>0</v>
      </c>
      <c r="I225" s="109">
        <f t="shared" si="31"/>
        <v>0</v>
      </c>
      <c r="J225" s="16">
        <v>0</v>
      </c>
      <c r="K225" s="16">
        <v>0</v>
      </c>
      <c r="L225" s="109">
        <f t="shared" si="32"/>
        <v>0</v>
      </c>
      <c r="M225" s="16">
        <v>11</v>
      </c>
      <c r="N225" s="16">
        <v>2</v>
      </c>
      <c r="O225" s="16">
        <v>1</v>
      </c>
      <c r="P225" s="16">
        <v>3</v>
      </c>
      <c r="Q225" s="16">
        <v>1</v>
      </c>
      <c r="R225" s="16">
        <v>14</v>
      </c>
    </row>
    <row r="226" spans="1:18" x14ac:dyDescent="0.25">
      <c r="A226" s="21">
        <v>42258</v>
      </c>
      <c r="B226" s="20"/>
      <c r="C226" s="15" t="s">
        <v>86</v>
      </c>
      <c r="D226" s="16">
        <v>5</v>
      </c>
      <c r="E226" s="16">
        <v>8</v>
      </c>
      <c r="F226" s="121">
        <f t="shared" ref="F226:F236" si="33">IF(E226=0,0,D226/E226)</f>
        <v>0.625</v>
      </c>
      <c r="G226" s="16">
        <v>0</v>
      </c>
      <c r="H226" s="16">
        <v>2</v>
      </c>
      <c r="I226" s="121">
        <f t="shared" ref="I226:I236" si="34">IF(H226=0,0,G226/H226)</f>
        <v>0</v>
      </c>
      <c r="J226" s="16">
        <v>4</v>
      </c>
      <c r="K226" s="16">
        <v>4</v>
      </c>
      <c r="L226" s="121">
        <f t="shared" ref="L226:L236" si="35">IF(K226=0,0,J226/K226)</f>
        <v>1</v>
      </c>
      <c r="M226" s="16">
        <v>1</v>
      </c>
      <c r="N226" s="16">
        <v>1</v>
      </c>
      <c r="O226" s="16">
        <v>0</v>
      </c>
      <c r="P226" s="16">
        <v>0</v>
      </c>
      <c r="Q226" s="16">
        <v>0</v>
      </c>
      <c r="R226" s="16">
        <v>14</v>
      </c>
    </row>
    <row r="227" spans="1:18" x14ac:dyDescent="0.25">
      <c r="A227" s="21">
        <v>42258</v>
      </c>
      <c r="B227" s="20"/>
      <c r="C227" s="15" t="s">
        <v>53</v>
      </c>
      <c r="D227" s="16">
        <v>9</v>
      </c>
      <c r="E227" s="16">
        <v>14</v>
      </c>
      <c r="F227" s="121">
        <f t="shared" si="33"/>
        <v>0.6428571428571429</v>
      </c>
      <c r="G227" s="16">
        <v>0</v>
      </c>
      <c r="H227" s="16">
        <v>2</v>
      </c>
      <c r="I227" s="121">
        <f t="shared" si="34"/>
        <v>0</v>
      </c>
      <c r="J227" s="16">
        <v>1</v>
      </c>
      <c r="K227" s="16">
        <v>1</v>
      </c>
      <c r="L227" s="121">
        <f t="shared" si="35"/>
        <v>1</v>
      </c>
      <c r="M227" s="16">
        <v>8</v>
      </c>
      <c r="N227" s="16">
        <v>3</v>
      </c>
      <c r="O227" s="16">
        <v>4</v>
      </c>
      <c r="P227" s="16">
        <v>2</v>
      </c>
      <c r="Q227" s="16">
        <v>1</v>
      </c>
      <c r="R227" s="16">
        <v>19</v>
      </c>
    </row>
    <row r="228" spans="1:18" x14ac:dyDescent="0.25">
      <c r="A228" s="21">
        <v>42258</v>
      </c>
      <c r="B228" s="20"/>
      <c r="C228" s="15" t="s">
        <v>90</v>
      </c>
      <c r="D228" s="16">
        <v>0</v>
      </c>
      <c r="E228" s="16">
        <v>6</v>
      </c>
      <c r="F228" s="121">
        <f t="shared" si="33"/>
        <v>0</v>
      </c>
      <c r="G228" s="16">
        <v>0</v>
      </c>
      <c r="H228" s="16">
        <v>0</v>
      </c>
      <c r="I228" s="121">
        <f t="shared" si="34"/>
        <v>0</v>
      </c>
      <c r="J228" s="16">
        <v>0</v>
      </c>
      <c r="K228" s="16">
        <v>0</v>
      </c>
      <c r="L228" s="121">
        <f t="shared" si="35"/>
        <v>0</v>
      </c>
      <c r="M228" s="16">
        <v>1</v>
      </c>
      <c r="N228" s="16">
        <v>0</v>
      </c>
      <c r="O228" s="16">
        <v>0</v>
      </c>
      <c r="P228" s="16">
        <v>2</v>
      </c>
      <c r="Q228" s="16">
        <v>0</v>
      </c>
      <c r="R228" s="16">
        <v>0</v>
      </c>
    </row>
    <row r="229" spans="1:18" x14ac:dyDescent="0.25">
      <c r="A229" s="21">
        <v>42258</v>
      </c>
      <c r="B229" s="20"/>
      <c r="C229" s="15" t="s">
        <v>56</v>
      </c>
      <c r="D229" s="16">
        <v>3</v>
      </c>
      <c r="E229" s="16">
        <v>6</v>
      </c>
      <c r="F229" s="121">
        <f t="shared" si="33"/>
        <v>0.5</v>
      </c>
      <c r="G229" s="16">
        <v>2</v>
      </c>
      <c r="H229" s="16">
        <v>4</v>
      </c>
      <c r="I229" s="121">
        <f t="shared" si="34"/>
        <v>0.5</v>
      </c>
      <c r="J229" s="16">
        <v>0</v>
      </c>
      <c r="K229" s="16">
        <v>0</v>
      </c>
      <c r="L229" s="121">
        <f t="shared" si="35"/>
        <v>0</v>
      </c>
      <c r="M229" s="16">
        <v>4</v>
      </c>
      <c r="N229" s="16">
        <v>9</v>
      </c>
      <c r="O229" s="16">
        <v>2</v>
      </c>
      <c r="P229" s="16">
        <v>0</v>
      </c>
      <c r="Q229" s="16">
        <v>0</v>
      </c>
      <c r="R229" s="16">
        <v>8</v>
      </c>
    </row>
    <row r="230" spans="1:18" x14ac:dyDescent="0.25">
      <c r="A230" s="21">
        <v>42258</v>
      </c>
      <c r="B230" s="20"/>
      <c r="C230" s="15" t="s">
        <v>154</v>
      </c>
      <c r="D230" s="16">
        <v>7</v>
      </c>
      <c r="E230" s="16">
        <v>13</v>
      </c>
      <c r="F230" s="121">
        <f t="shared" si="33"/>
        <v>0.53846153846153844</v>
      </c>
      <c r="G230" s="16">
        <v>0</v>
      </c>
      <c r="H230" s="16">
        <v>0</v>
      </c>
      <c r="I230" s="121">
        <f t="shared" si="34"/>
        <v>0</v>
      </c>
      <c r="J230" s="16">
        <v>7</v>
      </c>
      <c r="K230" s="16">
        <v>8</v>
      </c>
      <c r="L230" s="121">
        <f t="shared" si="35"/>
        <v>0.875</v>
      </c>
      <c r="M230" s="16">
        <v>12</v>
      </c>
      <c r="N230" s="16">
        <v>1</v>
      </c>
      <c r="O230" s="16">
        <v>1</v>
      </c>
      <c r="P230" s="16">
        <v>4</v>
      </c>
      <c r="Q230" s="16">
        <v>3</v>
      </c>
      <c r="R230" s="16">
        <v>21</v>
      </c>
    </row>
    <row r="231" spans="1:18" x14ac:dyDescent="0.25">
      <c r="A231" s="21">
        <v>42258</v>
      </c>
      <c r="B231" s="20"/>
      <c r="C231" s="15" t="s">
        <v>89</v>
      </c>
      <c r="D231" s="16">
        <v>3</v>
      </c>
      <c r="E231" s="16">
        <v>5</v>
      </c>
      <c r="F231" s="121">
        <f t="shared" si="33"/>
        <v>0.6</v>
      </c>
      <c r="G231" s="16">
        <v>1</v>
      </c>
      <c r="H231" s="16">
        <v>1</v>
      </c>
      <c r="I231" s="121">
        <f t="shared" si="34"/>
        <v>1</v>
      </c>
      <c r="J231" s="16">
        <v>0</v>
      </c>
      <c r="K231" s="16">
        <v>0</v>
      </c>
      <c r="L231" s="121">
        <f t="shared" si="35"/>
        <v>0</v>
      </c>
      <c r="M231" s="16">
        <v>5</v>
      </c>
      <c r="N231" s="16">
        <v>1</v>
      </c>
      <c r="O231" s="16">
        <v>1</v>
      </c>
      <c r="P231" s="16">
        <v>2</v>
      </c>
      <c r="Q231" s="16">
        <v>0</v>
      </c>
      <c r="R231" s="16">
        <v>7</v>
      </c>
    </row>
    <row r="232" spans="1:18" x14ac:dyDescent="0.25">
      <c r="A232" s="73">
        <v>42260</v>
      </c>
      <c r="B232" s="20"/>
      <c r="C232" s="15" t="s">
        <v>53</v>
      </c>
      <c r="D232" s="16">
        <v>2</v>
      </c>
      <c r="E232" s="16">
        <v>7</v>
      </c>
      <c r="F232" s="121">
        <f t="shared" si="33"/>
        <v>0.2857142857142857</v>
      </c>
      <c r="G232" s="16">
        <v>0</v>
      </c>
      <c r="H232" s="16">
        <v>0</v>
      </c>
      <c r="I232" s="121">
        <f t="shared" si="34"/>
        <v>0</v>
      </c>
      <c r="J232" s="16">
        <v>3</v>
      </c>
      <c r="K232" s="16">
        <v>4</v>
      </c>
      <c r="L232" s="121">
        <f t="shared" si="35"/>
        <v>0.75</v>
      </c>
      <c r="M232" s="16">
        <v>12</v>
      </c>
      <c r="N232" s="16">
        <v>3</v>
      </c>
      <c r="O232" s="16">
        <v>4</v>
      </c>
      <c r="P232" s="16">
        <v>1</v>
      </c>
      <c r="Q232" s="16">
        <v>1</v>
      </c>
      <c r="R232" s="16">
        <v>7</v>
      </c>
    </row>
    <row r="233" spans="1:18" x14ac:dyDescent="0.25">
      <c r="A233" s="73">
        <v>42260</v>
      </c>
      <c r="B233" s="20"/>
      <c r="C233" s="15" t="s">
        <v>90</v>
      </c>
      <c r="D233" s="16">
        <v>3</v>
      </c>
      <c r="E233" s="16">
        <v>10</v>
      </c>
      <c r="F233" s="121">
        <f t="shared" si="33"/>
        <v>0.3</v>
      </c>
      <c r="G233" s="16">
        <v>0</v>
      </c>
      <c r="H233" s="16">
        <v>0</v>
      </c>
      <c r="I233" s="121">
        <f t="shared" si="34"/>
        <v>0</v>
      </c>
      <c r="J233" s="16">
        <v>0</v>
      </c>
      <c r="K233" s="16">
        <v>0</v>
      </c>
      <c r="L233" s="121">
        <f t="shared" si="35"/>
        <v>0</v>
      </c>
      <c r="M233" s="16">
        <v>2</v>
      </c>
      <c r="N233" s="16">
        <v>1</v>
      </c>
      <c r="O233" s="16">
        <v>2</v>
      </c>
      <c r="P233" s="16">
        <v>0</v>
      </c>
      <c r="Q233" s="16">
        <v>0</v>
      </c>
      <c r="R233" s="16">
        <v>6</v>
      </c>
    </row>
    <row r="234" spans="1:18" x14ac:dyDescent="0.25">
      <c r="A234" s="73">
        <v>42260</v>
      </c>
      <c r="B234" s="20"/>
      <c r="C234" s="15" t="s">
        <v>56</v>
      </c>
      <c r="D234" s="16">
        <v>2</v>
      </c>
      <c r="E234" s="16">
        <v>4</v>
      </c>
      <c r="F234" s="121">
        <f t="shared" si="33"/>
        <v>0.5</v>
      </c>
      <c r="G234" s="16">
        <v>0</v>
      </c>
      <c r="H234" s="16">
        <v>2</v>
      </c>
      <c r="I234" s="121">
        <f t="shared" si="34"/>
        <v>0</v>
      </c>
      <c r="J234" s="16">
        <v>3</v>
      </c>
      <c r="K234" s="16">
        <v>3</v>
      </c>
      <c r="L234" s="121">
        <f t="shared" si="35"/>
        <v>1</v>
      </c>
      <c r="M234" s="16">
        <v>1</v>
      </c>
      <c r="N234" s="16">
        <v>3</v>
      </c>
      <c r="O234" s="16">
        <v>0</v>
      </c>
      <c r="P234" s="16">
        <v>5</v>
      </c>
      <c r="Q234" s="16">
        <v>0</v>
      </c>
      <c r="R234" s="16">
        <v>7</v>
      </c>
    </row>
    <row r="235" spans="1:18" x14ac:dyDescent="0.25">
      <c r="A235" s="73">
        <v>42260</v>
      </c>
      <c r="B235" s="20"/>
      <c r="C235" s="15" t="s">
        <v>57</v>
      </c>
      <c r="D235" s="16">
        <v>4</v>
      </c>
      <c r="E235" s="16">
        <v>12</v>
      </c>
      <c r="F235" s="121">
        <f t="shared" si="33"/>
        <v>0.33333333333333331</v>
      </c>
      <c r="G235" s="16">
        <v>0</v>
      </c>
      <c r="H235" s="16">
        <v>0</v>
      </c>
      <c r="I235" s="121">
        <f t="shared" si="34"/>
        <v>0</v>
      </c>
      <c r="J235" s="16">
        <v>0</v>
      </c>
      <c r="K235" s="16">
        <v>0</v>
      </c>
      <c r="L235" s="121">
        <f t="shared" si="35"/>
        <v>0</v>
      </c>
      <c r="M235" s="16">
        <v>4</v>
      </c>
      <c r="N235" s="16">
        <v>2</v>
      </c>
      <c r="O235" s="16">
        <v>1</v>
      </c>
      <c r="P235" s="16">
        <v>0</v>
      </c>
      <c r="Q235" s="16">
        <v>0</v>
      </c>
      <c r="R235" s="16">
        <v>8</v>
      </c>
    </row>
    <row r="236" spans="1:18" x14ac:dyDescent="0.25">
      <c r="A236" s="73">
        <v>42260</v>
      </c>
      <c r="B236" s="20"/>
      <c r="C236" s="15" t="s">
        <v>86</v>
      </c>
      <c r="D236" s="16">
        <v>2</v>
      </c>
      <c r="E236" s="16">
        <v>4</v>
      </c>
      <c r="F236" s="121">
        <f t="shared" si="33"/>
        <v>0.5</v>
      </c>
      <c r="G236" s="16">
        <v>0</v>
      </c>
      <c r="H236" s="16">
        <v>1</v>
      </c>
      <c r="I236" s="121">
        <f t="shared" si="34"/>
        <v>0</v>
      </c>
      <c r="J236" s="16">
        <v>0</v>
      </c>
      <c r="K236" s="16">
        <v>0</v>
      </c>
      <c r="L236" s="121">
        <f t="shared" si="35"/>
        <v>0</v>
      </c>
      <c r="M236" s="16">
        <v>0</v>
      </c>
      <c r="N236" s="16">
        <v>1</v>
      </c>
      <c r="O236" s="16">
        <v>0</v>
      </c>
      <c r="P236" s="16">
        <v>0</v>
      </c>
      <c r="Q236" s="16">
        <v>0</v>
      </c>
      <c r="R236" s="16">
        <v>4</v>
      </c>
    </row>
    <row r="237" spans="1:18" x14ac:dyDescent="0.25">
      <c r="A237" s="35"/>
      <c r="B237" s="35"/>
      <c r="C237" s="36"/>
      <c r="D237" s="32"/>
      <c r="E237" s="32"/>
      <c r="F237" s="37">
        <f t="shared" si="30"/>
        <v>0</v>
      </c>
      <c r="G237" s="32"/>
      <c r="H237" s="32"/>
      <c r="I237" s="37">
        <f t="shared" si="31"/>
        <v>0</v>
      </c>
      <c r="J237" s="32"/>
      <c r="K237" s="32"/>
      <c r="L237" s="37">
        <f t="shared" si="32"/>
        <v>0</v>
      </c>
      <c r="M237" s="32"/>
      <c r="N237" s="32"/>
      <c r="O237" s="32"/>
      <c r="P237" s="32"/>
      <c r="Q237" s="32"/>
      <c r="R237" s="34">
        <f>2*beckyhammonfan1Stats[[#This Row],[FGM]]+beckyhammonfan1Stats[[#This Row],[3-PT FGM]]+beckyhammonfan1Stats[[#This Row],[FTM]]</f>
        <v>0</v>
      </c>
    </row>
    <row r="238" spans="1:18" x14ac:dyDescent="0.25">
      <c r="A238" s="6" t="s">
        <v>17</v>
      </c>
      <c r="D238" s="6">
        <f>SUBTOTAL(109,beckyhammonfan1Stats[FGM])</f>
        <v>1017</v>
      </c>
      <c r="E238" s="6">
        <f>SUBTOTAL(109,beckyhammonfan1Stats[FGA])</f>
        <v>2216</v>
      </c>
      <c r="F238" s="7">
        <f>beckyhammonfan1Stats[[#Totals],[FGM]]/beckyhammonfan1Stats[[#Totals],[FGA]]</f>
        <v>0.45893501805054154</v>
      </c>
      <c r="G238" s="6">
        <f>SUBTOTAL(109,beckyhammonfan1Stats[3-PT FGM])</f>
        <v>102</v>
      </c>
      <c r="H238" s="6">
        <f>SUBTOTAL(109,beckyhammonfan1Stats[3-PT FGA])</f>
        <v>309</v>
      </c>
      <c r="I238" s="7">
        <f>beckyhammonfan1Stats[[#Totals],[3-PT FGM]]/beckyhammonfan1Stats[[#Totals],[3-PT FGA]]</f>
        <v>0.3300970873786408</v>
      </c>
      <c r="J238" s="6">
        <f>SUBTOTAL(109,beckyhammonfan1Stats[FTM])</f>
        <v>542</v>
      </c>
      <c r="K238" s="6">
        <f>SUBTOTAL(109,beckyhammonfan1Stats[FTA])</f>
        <v>650</v>
      </c>
      <c r="L238" s="7">
        <f>beckyhammonfan1Stats[[#Totals],[FTM]]/beckyhammonfan1Stats[[#Totals],[FTA]]</f>
        <v>0.83384615384615379</v>
      </c>
      <c r="M238" s="6">
        <f>SUBTOTAL(109,beckyhammonfan1Stats[REB])</f>
        <v>1151</v>
      </c>
      <c r="N238" s="6">
        <f>SUBTOTAL(109,beckyhammonfan1Stats[AST])</f>
        <v>620</v>
      </c>
      <c r="O238" s="6">
        <f>SUBTOTAL(109,beckyhammonfan1Stats[STL])</f>
        <v>266</v>
      </c>
      <c r="P238" s="6">
        <f>SUBTOTAL(109,beckyhammonfan1Stats[TO])</f>
        <v>441</v>
      </c>
      <c r="Q238" s="6">
        <f>SUBTOTAL(109,beckyhammonfan1Stats[BLK])</f>
        <v>131</v>
      </c>
      <c r="R238" s="6">
        <f>SUBTOTAL(109,beckyhammonfan1Stats[PTS])</f>
        <v>2678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4"/>
  <sheetViews>
    <sheetView showGridLines="0" topLeftCell="A222" workbookViewId="0">
      <selection sqref="A1:R244"/>
    </sheetView>
  </sheetViews>
  <sheetFormatPr defaultRowHeight="15" x14ac:dyDescent="0.25"/>
  <cols>
    <col min="1" max="1" width="7.28515625" style="6" customWidth="1"/>
    <col min="2" max="2" width="2.85546875" style="6" customWidth="1"/>
    <col min="3" max="3" width="20.42578125" style="6" bestFit="1" customWidth="1"/>
    <col min="4" max="4" width="5.28515625" style="6" bestFit="1" customWidth="1"/>
    <col min="5" max="5" width="4.7109375" style="6" bestFit="1" customWidth="1"/>
    <col min="6" max="6" width="5.5703125" style="7" bestFit="1" customWidth="1"/>
    <col min="7" max="7" width="5.85546875" style="6" customWidth="1"/>
    <col min="8" max="8" width="5.5703125" style="6" customWidth="1"/>
    <col min="9" max="9" width="6.42578125" style="7" bestFit="1" customWidth="1"/>
    <col min="10" max="10" width="4.85546875" style="6" bestFit="1" customWidth="1"/>
    <col min="11" max="11" width="4.28515625" style="6" bestFit="1" customWidth="1"/>
    <col min="12" max="12" width="5.5703125" style="7" bestFit="1" customWidth="1"/>
    <col min="13" max="14" width="4.28515625" style="6" bestFit="1" customWidth="1"/>
    <col min="15" max="15" width="3.85546875" style="6" bestFit="1" customWidth="1"/>
    <col min="16" max="16" width="4" bestFit="1" customWidth="1"/>
    <col min="17" max="17" width="4.140625" style="6" bestFit="1" customWidth="1"/>
    <col min="18" max="18" width="5" bestFit="1" customWidth="1"/>
    <col min="20" max="20" width="6" style="6" customWidth="1"/>
    <col min="21" max="16384" width="9.140625" style="6"/>
  </cols>
  <sheetData>
    <row r="1" spans="1:19" s="3" customFormat="1" x14ac:dyDescent="0.25">
      <c r="A1" s="3" t="s">
        <v>0</v>
      </c>
      <c r="B1" s="11" t="s">
        <v>19</v>
      </c>
      <c r="C1" s="4" t="s">
        <v>1</v>
      </c>
      <c r="D1" s="3" t="s">
        <v>2</v>
      </c>
      <c r="E1" s="3" t="s">
        <v>3</v>
      </c>
      <c r="F1" s="5" t="s">
        <v>4</v>
      </c>
      <c r="G1" s="3" t="s">
        <v>5</v>
      </c>
      <c r="H1" s="3" t="s">
        <v>6</v>
      </c>
      <c r="I1" s="5" t="s">
        <v>7</v>
      </c>
      <c r="J1" s="3" t="s">
        <v>8</v>
      </c>
      <c r="K1" s="3" t="s">
        <v>9</v>
      </c>
      <c r="L1" s="5" t="s">
        <v>10</v>
      </c>
      <c r="M1" s="3" t="s">
        <v>11</v>
      </c>
      <c r="N1" s="3" t="s">
        <v>12</v>
      </c>
      <c r="O1" s="3" t="s">
        <v>15</v>
      </c>
      <c r="P1" s="3" t="s">
        <v>16</v>
      </c>
      <c r="Q1" s="3" t="s">
        <v>14</v>
      </c>
      <c r="R1" s="13" t="s">
        <v>13</v>
      </c>
    </row>
    <row r="2" spans="1:19" x14ac:dyDescent="0.25">
      <c r="A2" s="14">
        <v>42160</v>
      </c>
      <c r="B2" s="15"/>
      <c r="C2" s="10" t="s">
        <v>46</v>
      </c>
      <c r="D2" s="16">
        <v>4</v>
      </c>
      <c r="E2" s="16">
        <v>8</v>
      </c>
      <c r="F2" s="17">
        <f t="shared" ref="F2:F7" si="0">IF(E2=0,0,D2/E2)</f>
        <v>0.5</v>
      </c>
      <c r="G2" s="16">
        <v>0</v>
      </c>
      <c r="H2" s="16">
        <v>0</v>
      </c>
      <c r="I2" s="17">
        <f t="shared" ref="I2:I7" si="1">IF(H2=0,0,G2/H2)</f>
        <v>0</v>
      </c>
      <c r="J2" s="16">
        <v>5</v>
      </c>
      <c r="K2" s="16">
        <v>6</v>
      </c>
      <c r="L2" s="17">
        <f t="shared" ref="L2:L7" si="2">IF(K2=0,0,J2/K2)</f>
        <v>0.83333333333333337</v>
      </c>
      <c r="M2" s="16">
        <v>7</v>
      </c>
      <c r="N2" s="16">
        <v>3</v>
      </c>
      <c r="O2" s="16">
        <v>0</v>
      </c>
      <c r="P2" s="16">
        <v>0</v>
      </c>
      <c r="Q2" s="16">
        <v>1</v>
      </c>
      <c r="R2" s="16">
        <v>13</v>
      </c>
      <c r="S2" s="6"/>
    </row>
    <row r="3" spans="1:19" x14ac:dyDescent="0.25">
      <c r="A3" s="14">
        <v>42160</v>
      </c>
      <c r="B3" s="15"/>
      <c r="C3" s="10" t="s">
        <v>47</v>
      </c>
      <c r="D3" s="16">
        <v>2</v>
      </c>
      <c r="E3" s="16">
        <v>5</v>
      </c>
      <c r="F3" s="17">
        <f t="shared" si="0"/>
        <v>0.4</v>
      </c>
      <c r="G3" s="16">
        <v>0</v>
      </c>
      <c r="H3" s="16">
        <v>1</v>
      </c>
      <c r="I3" s="17">
        <f t="shared" si="1"/>
        <v>0</v>
      </c>
      <c r="J3" s="16">
        <v>0</v>
      </c>
      <c r="K3" s="16">
        <v>0</v>
      </c>
      <c r="L3" s="17">
        <f t="shared" si="2"/>
        <v>0</v>
      </c>
      <c r="M3" s="16">
        <v>2</v>
      </c>
      <c r="N3" s="16">
        <v>1</v>
      </c>
      <c r="O3" s="16">
        <v>0</v>
      </c>
      <c r="P3" s="16">
        <v>1</v>
      </c>
      <c r="Q3" s="16">
        <v>0</v>
      </c>
      <c r="R3" s="16">
        <v>4</v>
      </c>
    </row>
    <row r="4" spans="1:19" x14ac:dyDescent="0.25">
      <c r="A4" s="14">
        <v>42160</v>
      </c>
      <c r="B4" s="15"/>
      <c r="C4" s="10" t="s">
        <v>48</v>
      </c>
      <c r="D4" s="16">
        <v>2</v>
      </c>
      <c r="E4" s="16">
        <v>5</v>
      </c>
      <c r="F4" s="17">
        <f t="shared" si="0"/>
        <v>0.4</v>
      </c>
      <c r="G4" s="16">
        <v>0</v>
      </c>
      <c r="H4" s="16">
        <v>1</v>
      </c>
      <c r="I4" s="17">
        <f t="shared" si="1"/>
        <v>0</v>
      </c>
      <c r="J4" s="16">
        <v>1</v>
      </c>
      <c r="K4" s="16">
        <v>1</v>
      </c>
      <c r="L4" s="17">
        <f t="shared" si="2"/>
        <v>1</v>
      </c>
      <c r="M4" s="16">
        <v>0</v>
      </c>
      <c r="N4" s="16">
        <v>3</v>
      </c>
      <c r="O4" s="16">
        <v>0</v>
      </c>
      <c r="P4" s="16">
        <v>2</v>
      </c>
      <c r="Q4" s="16">
        <v>1</v>
      </c>
      <c r="R4" s="16">
        <v>5</v>
      </c>
    </row>
    <row r="5" spans="1:19" x14ac:dyDescent="0.25">
      <c r="A5" s="14">
        <v>42160</v>
      </c>
      <c r="B5" s="15"/>
      <c r="C5" s="10" t="s">
        <v>49</v>
      </c>
      <c r="D5" s="16">
        <v>6</v>
      </c>
      <c r="E5" s="16">
        <v>13</v>
      </c>
      <c r="F5" s="17">
        <f t="shared" si="0"/>
        <v>0.46153846153846156</v>
      </c>
      <c r="G5" s="16">
        <v>0</v>
      </c>
      <c r="H5" s="16">
        <v>1</v>
      </c>
      <c r="I5" s="17">
        <f t="shared" si="1"/>
        <v>0</v>
      </c>
      <c r="J5" s="16">
        <v>5</v>
      </c>
      <c r="K5" s="16">
        <v>8</v>
      </c>
      <c r="L5" s="17">
        <f t="shared" si="2"/>
        <v>0.625</v>
      </c>
      <c r="M5" s="16">
        <v>12</v>
      </c>
      <c r="N5" s="16">
        <v>3</v>
      </c>
      <c r="O5" s="16">
        <v>1</v>
      </c>
      <c r="P5" s="16">
        <v>3</v>
      </c>
      <c r="Q5" s="16">
        <v>0</v>
      </c>
      <c r="R5" s="16">
        <v>17</v>
      </c>
    </row>
    <row r="6" spans="1:19" x14ac:dyDescent="0.25">
      <c r="A6" s="26">
        <v>42160</v>
      </c>
      <c r="B6" s="26"/>
      <c r="C6" s="6" t="s">
        <v>50</v>
      </c>
      <c r="D6" s="23">
        <v>5</v>
      </c>
      <c r="E6" s="23">
        <v>18</v>
      </c>
      <c r="F6" s="24">
        <f t="shared" si="0"/>
        <v>0.27777777777777779</v>
      </c>
      <c r="G6" s="23">
        <v>3</v>
      </c>
      <c r="H6" s="23">
        <v>8</v>
      </c>
      <c r="I6" s="24">
        <f t="shared" si="1"/>
        <v>0.375</v>
      </c>
      <c r="J6" s="23">
        <v>4</v>
      </c>
      <c r="K6" s="23">
        <v>4</v>
      </c>
      <c r="L6" s="24">
        <f t="shared" si="2"/>
        <v>1</v>
      </c>
      <c r="M6" s="23">
        <v>2</v>
      </c>
      <c r="N6" s="23">
        <v>1</v>
      </c>
      <c r="O6" s="23">
        <v>2</v>
      </c>
      <c r="P6" s="23">
        <v>3</v>
      </c>
      <c r="Q6" s="23">
        <v>0</v>
      </c>
      <c r="R6" s="25">
        <v>17</v>
      </c>
    </row>
    <row r="7" spans="1:19" x14ac:dyDescent="0.25">
      <c r="A7" s="110">
        <v>42160</v>
      </c>
      <c r="B7" s="110"/>
      <c r="C7" s="116" t="s">
        <v>51</v>
      </c>
      <c r="D7" s="112">
        <v>1</v>
      </c>
      <c r="E7" s="112">
        <v>6</v>
      </c>
      <c r="F7" s="113">
        <f t="shared" si="0"/>
        <v>0.16666666666666666</v>
      </c>
      <c r="G7" s="112">
        <v>0</v>
      </c>
      <c r="H7" s="112">
        <v>0</v>
      </c>
      <c r="I7" s="113">
        <f t="shared" si="1"/>
        <v>0</v>
      </c>
      <c r="J7" s="112">
        <v>2</v>
      </c>
      <c r="K7" s="112">
        <v>5</v>
      </c>
      <c r="L7" s="113">
        <f t="shared" si="2"/>
        <v>0.4</v>
      </c>
      <c r="M7" s="112">
        <v>8</v>
      </c>
      <c r="N7" s="112">
        <v>1</v>
      </c>
      <c r="O7" s="112">
        <v>1</v>
      </c>
      <c r="P7" s="112">
        <v>2</v>
      </c>
      <c r="Q7" s="112">
        <v>1</v>
      </c>
      <c r="R7" s="115">
        <v>4</v>
      </c>
    </row>
    <row r="8" spans="1:19" x14ac:dyDescent="0.25">
      <c r="A8" s="26">
        <v>42161</v>
      </c>
      <c r="B8" s="26"/>
      <c r="C8" s="22" t="s">
        <v>51</v>
      </c>
      <c r="D8" s="23">
        <v>1</v>
      </c>
      <c r="E8" s="23">
        <v>6</v>
      </c>
      <c r="F8" s="24">
        <f t="shared" ref="F8:F14" si="3">IF(E8=0,0,D8/E8)</f>
        <v>0.16666666666666666</v>
      </c>
      <c r="G8" s="23">
        <v>0</v>
      </c>
      <c r="H8" s="23">
        <v>1</v>
      </c>
      <c r="I8" s="24">
        <f t="shared" ref="I8:I14" si="4">IF(H8=0,0,G8/H8)</f>
        <v>0</v>
      </c>
      <c r="J8" s="23">
        <v>0</v>
      </c>
      <c r="K8" s="23">
        <v>2</v>
      </c>
      <c r="L8" s="24">
        <f t="shared" ref="L8:L14" si="5">IF(K8=0,0,J8/K8)</f>
        <v>0</v>
      </c>
      <c r="M8" s="23">
        <v>5</v>
      </c>
      <c r="N8" s="23">
        <v>1</v>
      </c>
      <c r="O8" s="23">
        <v>1</v>
      </c>
      <c r="P8" s="23">
        <v>1</v>
      </c>
      <c r="Q8" s="23">
        <v>0</v>
      </c>
      <c r="R8" s="25">
        <v>2</v>
      </c>
    </row>
    <row r="9" spans="1:19" x14ac:dyDescent="0.25">
      <c r="A9" s="26">
        <v>42161</v>
      </c>
      <c r="B9" s="26"/>
      <c r="C9" s="22" t="s">
        <v>49</v>
      </c>
      <c r="D9" s="23">
        <v>8</v>
      </c>
      <c r="E9" s="23">
        <v>19</v>
      </c>
      <c r="F9" s="24">
        <f t="shared" si="3"/>
        <v>0.42105263157894735</v>
      </c>
      <c r="G9" s="23">
        <v>0</v>
      </c>
      <c r="H9" s="23">
        <v>0</v>
      </c>
      <c r="I9" s="24">
        <f t="shared" si="4"/>
        <v>0</v>
      </c>
      <c r="J9" s="23">
        <v>2</v>
      </c>
      <c r="K9" s="23">
        <v>2</v>
      </c>
      <c r="L9" s="24">
        <f t="shared" si="5"/>
        <v>1</v>
      </c>
      <c r="M9" s="23">
        <v>8</v>
      </c>
      <c r="N9" s="23">
        <v>3</v>
      </c>
      <c r="O9" s="23">
        <v>0</v>
      </c>
      <c r="P9" s="23">
        <v>2</v>
      </c>
      <c r="Q9" s="23">
        <v>0</v>
      </c>
      <c r="R9" s="25">
        <v>18</v>
      </c>
    </row>
    <row r="10" spans="1:19" x14ac:dyDescent="0.25">
      <c r="A10" s="26">
        <v>42161</v>
      </c>
      <c r="B10" s="26"/>
      <c r="C10" s="22" t="s">
        <v>48</v>
      </c>
      <c r="D10" s="23">
        <v>1</v>
      </c>
      <c r="E10" s="23">
        <v>5</v>
      </c>
      <c r="F10" s="24">
        <f t="shared" si="3"/>
        <v>0.2</v>
      </c>
      <c r="G10" s="23">
        <v>0</v>
      </c>
      <c r="H10" s="23">
        <v>2</v>
      </c>
      <c r="I10" s="24">
        <f t="shared" si="4"/>
        <v>0</v>
      </c>
      <c r="J10" s="23">
        <v>0</v>
      </c>
      <c r="K10" s="23">
        <v>0</v>
      </c>
      <c r="L10" s="24">
        <f t="shared" si="5"/>
        <v>0</v>
      </c>
      <c r="M10" s="23">
        <v>1</v>
      </c>
      <c r="N10" s="23">
        <v>0</v>
      </c>
      <c r="O10" s="23">
        <v>0</v>
      </c>
      <c r="P10" s="23">
        <v>0</v>
      </c>
      <c r="Q10" s="23">
        <v>0</v>
      </c>
      <c r="R10" s="25">
        <v>2</v>
      </c>
    </row>
    <row r="11" spans="1:19" x14ac:dyDescent="0.25">
      <c r="A11" s="26">
        <v>42161</v>
      </c>
      <c r="B11" s="26"/>
      <c r="C11" s="22" t="s">
        <v>87</v>
      </c>
      <c r="D11" s="23">
        <v>1</v>
      </c>
      <c r="E11" s="23">
        <v>6</v>
      </c>
      <c r="F11" s="24">
        <f t="shared" si="3"/>
        <v>0.16666666666666666</v>
      </c>
      <c r="G11" s="23">
        <v>0</v>
      </c>
      <c r="H11" s="23">
        <v>2</v>
      </c>
      <c r="I11" s="24">
        <f t="shared" si="4"/>
        <v>0</v>
      </c>
      <c r="J11" s="23">
        <v>0</v>
      </c>
      <c r="K11" s="23">
        <v>0</v>
      </c>
      <c r="L11" s="24">
        <f t="shared" si="5"/>
        <v>0</v>
      </c>
      <c r="M11" s="23">
        <v>3</v>
      </c>
      <c r="N11" s="23">
        <v>3</v>
      </c>
      <c r="O11" s="23">
        <v>1</v>
      </c>
      <c r="P11" s="23">
        <v>0</v>
      </c>
      <c r="Q11" s="23">
        <v>1</v>
      </c>
      <c r="R11" s="25">
        <v>2</v>
      </c>
    </row>
    <row r="12" spans="1:19" x14ac:dyDescent="0.25">
      <c r="A12" s="26">
        <v>42161</v>
      </c>
      <c r="B12" s="26"/>
      <c r="C12" s="22" t="s">
        <v>88</v>
      </c>
      <c r="D12" s="23">
        <v>1</v>
      </c>
      <c r="E12" s="23">
        <v>4</v>
      </c>
      <c r="F12" s="24">
        <f t="shared" si="3"/>
        <v>0.25</v>
      </c>
      <c r="G12" s="23">
        <v>0</v>
      </c>
      <c r="H12" s="23">
        <v>0</v>
      </c>
      <c r="I12" s="24">
        <f t="shared" si="4"/>
        <v>0</v>
      </c>
      <c r="J12" s="23">
        <v>4</v>
      </c>
      <c r="K12" s="23">
        <v>4</v>
      </c>
      <c r="L12" s="24">
        <f t="shared" si="5"/>
        <v>1</v>
      </c>
      <c r="M12" s="23">
        <v>1</v>
      </c>
      <c r="N12" s="23">
        <v>0</v>
      </c>
      <c r="O12" s="23">
        <v>0</v>
      </c>
      <c r="P12" s="23">
        <v>1</v>
      </c>
      <c r="Q12" s="23">
        <v>2</v>
      </c>
      <c r="R12" s="25">
        <v>6</v>
      </c>
    </row>
    <row r="13" spans="1:19" x14ac:dyDescent="0.25">
      <c r="A13" s="43">
        <v>42162</v>
      </c>
      <c r="B13" s="43"/>
      <c r="C13" s="22" t="s">
        <v>46</v>
      </c>
      <c r="D13" s="23">
        <v>1</v>
      </c>
      <c r="E13" s="23">
        <v>4</v>
      </c>
      <c r="F13" s="38">
        <f t="shared" si="3"/>
        <v>0.25</v>
      </c>
      <c r="G13" s="23">
        <v>0</v>
      </c>
      <c r="H13" s="23">
        <v>0</v>
      </c>
      <c r="I13" s="38">
        <f t="shared" si="4"/>
        <v>0</v>
      </c>
      <c r="J13" s="23">
        <v>3</v>
      </c>
      <c r="K13" s="23">
        <v>4</v>
      </c>
      <c r="L13" s="38">
        <f t="shared" si="5"/>
        <v>0.75</v>
      </c>
      <c r="M13" s="23">
        <v>1</v>
      </c>
      <c r="N13" s="23">
        <v>1</v>
      </c>
      <c r="O13" s="23">
        <v>1</v>
      </c>
      <c r="P13" s="23">
        <v>2</v>
      </c>
      <c r="Q13" s="23">
        <v>0</v>
      </c>
      <c r="R13" s="25">
        <v>5</v>
      </c>
    </row>
    <row r="14" spans="1:19" x14ac:dyDescent="0.25">
      <c r="A14" s="43">
        <v>42162</v>
      </c>
      <c r="B14" s="43"/>
      <c r="C14" s="22" t="s">
        <v>50</v>
      </c>
      <c r="D14" s="23">
        <v>3</v>
      </c>
      <c r="E14" s="23">
        <v>10</v>
      </c>
      <c r="F14" s="38">
        <f t="shared" si="3"/>
        <v>0.3</v>
      </c>
      <c r="G14" s="23">
        <v>0</v>
      </c>
      <c r="H14" s="23">
        <v>2</v>
      </c>
      <c r="I14" s="38">
        <f t="shared" si="4"/>
        <v>0</v>
      </c>
      <c r="J14" s="23">
        <v>6</v>
      </c>
      <c r="K14" s="23">
        <v>6</v>
      </c>
      <c r="L14" s="38">
        <f t="shared" si="5"/>
        <v>1</v>
      </c>
      <c r="M14" s="23">
        <v>2</v>
      </c>
      <c r="N14" s="23">
        <v>1</v>
      </c>
      <c r="O14" s="23">
        <v>0</v>
      </c>
      <c r="P14" s="23">
        <v>2</v>
      </c>
      <c r="Q14" s="23">
        <v>0</v>
      </c>
      <c r="R14" s="25">
        <v>12</v>
      </c>
    </row>
    <row r="15" spans="1:19" x14ac:dyDescent="0.25">
      <c r="A15" s="43">
        <v>42162</v>
      </c>
      <c r="B15" s="43"/>
      <c r="C15" s="22" t="s">
        <v>47</v>
      </c>
      <c r="D15" s="23">
        <v>5</v>
      </c>
      <c r="E15" s="23">
        <v>9</v>
      </c>
      <c r="F15" s="38">
        <f t="shared" ref="F15:F28" si="6">IF(E15=0,0,D15/E15)</f>
        <v>0.55555555555555558</v>
      </c>
      <c r="G15" s="23">
        <v>3</v>
      </c>
      <c r="H15" s="23">
        <v>3</v>
      </c>
      <c r="I15" s="38">
        <f t="shared" ref="I15:I28" si="7">IF(H15=0,0,G15/H15)</f>
        <v>1</v>
      </c>
      <c r="J15" s="23">
        <v>1</v>
      </c>
      <c r="K15" s="23">
        <v>1</v>
      </c>
      <c r="L15" s="38">
        <f t="shared" ref="L15:L28" si="8">IF(K15=0,0,J15/K15)</f>
        <v>1</v>
      </c>
      <c r="M15" s="23">
        <v>0</v>
      </c>
      <c r="N15" s="23">
        <v>1</v>
      </c>
      <c r="O15" s="23">
        <v>1</v>
      </c>
      <c r="P15" s="23">
        <v>2</v>
      </c>
      <c r="Q15" s="23">
        <v>0</v>
      </c>
      <c r="R15" s="25">
        <v>14</v>
      </c>
    </row>
    <row r="16" spans="1:19" x14ac:dyDescent="0.25">
      <c r="A16" s="26">
        <v>42164</v>
      </c>
      <c r="B16" s="26"/>
      <c r="C16" s="22" t="s">
        <v>51</v>
      </c>
      <c r="D16" s="23">
        <v>2</v>
      </c>
      <c r="E16" s="23">
        <v>5</v>
      </c>
      <c r="F16" s="38">
        <f t="shared" si="6"/>
        <v>0.4</v>
      </c>
      <c r="G16" s="23">
        <v>0</v>
      </c>
      <c r="H16" s="23">
        <v>0</v>
      </c>
      <c r="I16" s="38">
        <f t="shared" si="7"/>
        <v>0</v>
      </c>
      <c r="J16" s="23">
        <v>0</v>
      </c>
      <c r="K16" s="23">
        <v>0</v>
      </c>
      <c r="L16" s="38">
        <f t="shared" si="8"/>
        <v>0</v>
      </c>
      <c r="M16" s="23">
        <v>1</v>
      </c>
      <c r="N16" s="23">
        <v>0</v>
      </c>
      <c r="O16" s="23">
        <v>0</v>
      </c>
      <c r="P16" s="23">
        <v>0</v>
      </c>
      <c r="Q16" s="23">
        <v>1</v>
      </c>
      <c r="R16" s="25">
        <v>4</v>
      </c>
    </row>
    <row r="17" spans="1:18" x14ac:dyDescent="0.25">
      <c r="A17" s="26">
        <v>42164</v>
      </c>
      <c r="B17" s="26"/>
      <c r="C17" s="22" t="s">
        <v>49</v>
      </c>
      <c r="D17" s="23">
        <v>8</v>
      </c>
      <c r="E17" s="23">
        <v>12</v>
      </c>
      <c r="F17" s="38">
        <f t="shared" si="6"/>
        <v>0.66666666666666663</v>
      </c>
      <c r="G17" s="23">
        <v>0</v>
      </c>
      <c r="H17" s="23">
        <v>0</v>
      </c>
      <c r="I17" s="38">
        <f t="shared" si="7"/>
        <v>0</v>
      </c>
      <c r="J17" s="23">
        <v>5</v>
      </c>
      <c r="K17" s="23">
        <v>7</v>
      </c>
      <c r="L17" s="38">
        <f t="shared" si="8"/>
        <v>0.7142857142857143</v>
      </c>
      <c r="M17" s="23">
        <v>4</v>
      </c>
      <c r="N17" s="23">
        <v>4</v>
      </c>
      <c r="O17" s="23">
        <v>3</v>
      </c>
      <c r="P17" s="23">
        <v>3</v>
      </c>
      <c r="Q17" s="23">
        <v>1</v>
      </c>
      <c r="R17" s="25">
        <v>21</v>
      </c>
    </row>
    <row r="18" spans="1:18" x14ac:dyDescent="0.25">
      <c r="A18" s="26">
        <v>42164</v>
      </c>
      <c r="B18" s="26"/>
      <c r="C18" s="22" t="s">
        <v>48</v>
      </c>
      <c r="D18" s="23">
        <v>5</v>
      </c>
      <c r="E18" s="23">
        <v>8</v>
      </c>
      <c r="F18" s="38">
        <f t="shared" si="6"/>
        <v>0.625</v>
      </c>
      <c r="G18" s="23">
        <v>3</v>
      </c>
      <c r="H18" s="23">
        <v>3</v>
      </c>
      <c r="I18" s="38">
        <f t="shared" si="7"/>
        <v>1</v>
      </c>
      <c r="J18" s="23">
        <v>1</v>
      </c>
      <c r="K18" s="23">
        <v>1</v>
      </c>
      <c r="L18" s="38">
        <f t="shared" si="8"/>
        <v>1</v>
      </c>
      <c r="M18" s="23">
        <v>1</v>
      </c>
      <c r="N18" s="23">
        <v>1</v>
      </c>
      <c r="O18" s="23">
        <v>1</v>
      </c>
      <c r="P18" s="23">
        <v>0</v>
      </c>
      <c r="Q18" s="23">
        <v>0</v>
      </c>
      <c r="R18" s="25">
        <v>14</v>
      </c>
    </row>
    <row r="19" spans="1:18" x14ac:dyDescent="0.25">
      <c r="A19" s="26">
        <v>42164</v>
      </c>
      <c r="B19" s="26"/>
      <c r="C19" s="22" t="s">
        <v>87</v>
      </c>
      <c r="D19" s="23">
        <v>1</v>
      </c>
      <c r="E19" s="23">
        <v>5</v>
      </c>
      <c r="F19" s="38">
        <f t="shared" si="6"/>
        <v>0.2</v>
      </c>
      <c r="G19" s="23">
        <v>1</v>
      </c>
      <c r="H19" s="23">
        <v>3</v>
      </c>
      <c r="I19" s="38">
        <f t="shared" si="7"/>
        <v>0.33333333333333331</v>
      </c>
      <c r="J19" s="23">
        <v>0</v>
      </c>
      <c r="K19" s="23">
        <v>0</v>
      </c>
      <c r="L19" s="38">
        <f t="shared" si="8"/>
        <v>0</v>
      </c>
      <c r="M19" s="23">
        <v>2</v>
      </c>
      <c r="N19" s="23">
        <v>0</v>
      </c>
      <c r="O19" s="23">
        <v>1</v>
      </c>
      <c r="P19" s="23">
        <v>2</v>
      </c>
      <c r="Q19" s="23">
        <v>0</v>
      </c>
      <c r="R19" s="25">
        <v>3</v>
      </c>
    </row>
    <row r="20" spans="1:18" x14ac:dyDescent="0.25">
      <c r="A20" s="26">
        <v>42164</v>
      </c>
      <c r="B20" s="26"/>
      <c r="C20" s="22" t="s">
        <v>88</v>
      </c>
      <c r="D20" s="23">
        <v>2</v>
      </c>
      <c r="E20" s="23">
        <v>4</v>
      </c>
      <c r="F20" s="38">
        <f t="shared" si="6"/>
        <v>0.5</v>
      </c>
      <c r="G20" s="23">
        <v>0</v>
      </c>
      <c r="H20" s="23">
        <v>0</v>
      </c>
      <c r="I20" s="38">
        <f t="shared" si="7"/>
        <v>0</v>
      </c>
      <c r="J20" s="23">
        <v>4</v>
      </c>
      <c r="K20" s="23">
        <v>4</v>
      </c>
      <c r="L20" s="38">
        <f t="shared" si="8"/>
        <v>1</v>
      </c>
      <c r="M20" s="23">
        <v>2</v>
      </c>
      <c r="N20" s="23">
        <v>0</v>
      </c>
      <c r="O20" s="23">
        <v>0</v>
      </c>
      <c r="P20" s="23">
        <v>0</v>
      </c>
      <c r="Q20" s="23">
        <v>2</v>
      </c>
      <c r="R20" s="25">
        <v>8</v>
      </c>
    </row>
    <row r="21" spans="1:18" x14ac:dyDescent="0.25">
      <c r="A21" s="43">
        <v>42166</v>
      </c>
      <c r="B21" s="43"/>
      <c r="C21" s="22" t="s">
        <v>48</v>
      </c>
      <c r="D21" s="23">
        <v>4</v>
      </c>
      <c r="E21" s="23">
        <v>9</v>
      </c>
      <c r="F21" s="38">
        <f t="shared" si="6"/>
        <v>0.44444444444444442</v>
      </c>
      <c r="G21" s="23">
        <v>2</v>
      </c>
      <c r="H21" s="23">
        <v>4</v>
      </c>
      <c r="I21" s="38">
        <f t="shared" si="7"/>
        <v>0.5</v>
      </c>
      <c r="J21" s="23">
        <v>0</v>
      </c>
      <c r="K21" s="23">
        <v>0</v>
      </c>
      <c r="L21" s="38">
        <f t="shared" si="8"/>
        <v>0</v>
      </c>
      <c r="M21" s="23">
        <v>4</v>
      </c>
      <c r="N21" s="23">
        <v>3</v>
      </c>
      <c r="O21" s="23">
        <v>0</v>
      </c>
      <c r="P21" s="23">
        <v>2</v>
      </c>
      <c r="Q21" s="23">
        <v>0</v>
      </c>
      <c r="R21" s="25">
        <v>10</v>
      </c>
    </row>
    <row r="22" spans="1:18" x14ac:dyDescent="0.25">
      <c r="A22" s="43">
        <v>42166</v>
      </c>
      <c r="B22" s="43"/>
      <c r="C22" s="22" t="s">
        <v>49</v>
      </c>
      <c r="D22" s="23">
        <v>9</v>
      </c>
      <c r="E22" s="23">
        <v>19</v>
      </c>
      <c r="F22" s="38">
        <f t="shared" si="6"/>
        <v>0.47368421052631576</v>
      </c>
      <c r="G22" s="23">
        <v>0</v>
      </c>
      <c r="H22" s="23">
        <v>0</v>
      </c>
      <c r="I22" s="38">
        <f t="shared" si="7"/>
        <v>0</v>
      </c>
      <c r="J22" s="23">
        <v>1</v>
      </c>
      <c r="K22" s="23">
        <v>2</v>
      </c>
      <c r="L22" s="38">
        <f t="shared" si="8"/>
        <v>0.5</v>
      </c>
      <c r="M22" s="23">
        <v>11</v>
      </c>
      <c r="N22" s="23">
        <v>2</v>
      </c>
      <c r="O22" s="23">
        <v>0</v>
      </c>
      <c r="P22" s="23">
        <v>3</v>
      </c>
      <c r="Q22" s="23">
        <v>2</v>
      </c>
      <c r="R22" s="25">
        <v>19</v>
      </c>
    </row>
    <row r="23" spans="1:18" x14ac:dyDescent="0.25">
      <c r="A23" s="43">
        <v>42166</v>
      </c>
      <c r="B23" s="43"/>
      <c r="C23" s="22" t="s">
        <v>50</v>
      </c>
      <c r="D23" s="23">
        <v>4</v>
      </c>
      <c r="E23" s="23">
        <v>13</v>
      </c>
      <c r="F23" s="38">
        <f t="shared" si="6"/>
        <v>0.30769230769230771</v>
      </c>
      <c r="G23" s="23">
        <v>1</v>
      </c>
      <c r="H23" s="23">
        <v>5</v>
      </c>
      <c r="I23" s="38">
        <f t="shared" si="7"/>
        <v>0.2</v>
      </c>
      <c r="J23" s="23">
        <v>1</v>
      </c>
      <c r="K23" s="23">
        <v>2</v>
      </c>
      <c r="L23" s="38">
        <f t="shared" si="8"/>
        <v>0.5</v>
      </c>
      <c r="M23" s="23">
        <v>2</v>
      </c>
      <c r="N23" s="23">
        <v>2</v>
      </c>
      <c r="O23" s="23">
        <v>1</v>
      </c>
      <c r="P23" s="23">
        <v>1</v>
      </c>
      <c r="Q23" s="23">
        <v>0</v>
      </c>
      <c r="R23" s="25">
        <v>10</v>
      </c>
    </row>
    <row r="24" spans="1:18" x14ac:dyDescent="0.25">
      <c r="A24" s="43">
        <v>42166</v>
      </c>
      <c r="B24" s="43"/>
      <c r="C24" s="22" t="s">
        <v>88</v>
      </c>
      <c r="D24" s="23">
        <v>1</v>
      </c>
      <c r="E24" s="23">
        <v>10</v>
      </c>
      <c r="F24" s="38">
        <f t="shared" si="6"/>
        <v>0.1</v>
      </c>
      <c r="G24" s="23">
        <v>0</v>
      </c>
      <c r="H24" s="23">
        <v>0</v>
      </c>
      <c r="I24" s="38">
        <f t="shared" si="7"/>
        <v>0</v>
      </c>
      <c r="J24" s="23">
        <v>2</v>
      </c>
      <c r="K24" s="23">
        <v>2</v>
      </c>
      <c r="L24" s="38">
        <f t="shared" si="8"/>
        <v>1</v>
      </c>
      <c r="M24" s="23">
        <v>2</v>
      </c>
      <c r="N24" s="23">
        <v>1</v>
      </c>
      <c r="O24" s="23">
        <v>1</v>
      </c>
      <c r="P24" s="23">
        <v>0</v>
      </c>
      <c r="Q24" s="23">
        <v>1</v>
      </c>
      <c r="R24" s="25">
        <v>4</v>
      </c>
    </row>
    <row r="25" spans="1:18" x14ac:dyDescent="0.25">
      <c r="A25" s="43">
        <v>42166</v>
      </c>
      <c r="B25" s="43"/>
      <c r="C25" s="22" t="s">
        <v>46</v>
      </c>
      <c r="D25" s="23">
        <v>4</v>
      </c>
      <c r="E25" s="23">
        <v>12</v>
      </c>
      <c r="F25" s="38">
        <f t="shared" si="6"/>
        <v>0.33333333333333331</v>
      </c>
      <c r="G25" s="23">
        <v>0</v>
      </c>
      <c r="H25" s="23">
        <v>0</v>
      </c>
      <c r="I25" s="38">
        <f t="shared" si="7"/>
        <v>0</v>
      </c>
      <c r="J25" s="23">
        <v>6</v>
      </c>
      <c r="K25" s="23">
        <v>8</v>
      </c>
      <c r="L25" s="38">
        <f t="shared" si="8"/>
        <v>0.75</v>
      </c>
      <c r="M25" s="23">
        <v>8</v>
      </c>
      <c r="N25" s="23">
        <v>0</v>
      </c>
      <c r="O25" s="23">
        <v>2</v>
      </c>
      <c r="P25" s="23">
        <v>2</v>
      </c>
      <c r="Q25" s="23">
        <v>0</v>
      </c>
      <c r="R25" s="25">
        <v>14</v>
      </c>
    </row>
    <row r="26" spans="1:18" x14ac:dyDescent="0.25">
      <c r="A26" s="43">
        <v>42166</v>
      </c>
      <c r="B26" s="43"/>
      <c r="C26" s="22" t="s">
        <v>47</v>
      </c>
      <c r="D26" s="23">
        <v>0</v>
      </c>
      <c r="E26" s="23">
        <v>2</v>
      </c>
      <c r="F26" s="38">
        <f t="shared" si="6"/>
        <v>0</v>
      </c>
      <c r="G26" s="23">
        <v>0</v>
      </c>
      <c r="H26" s="23">
        <v>1</v>
      </c>
      <c r="I26" s="38">
        <f t="shared" si="7"/>
        <v>0</v>
      </c>
      <c r="J26" s="23">
        <v>3</v>
      </c>
      <c r="K26" s="23">
        <v>3</v>
      </c>
      <c r="L26" s="38">
        <f t="shared" si="8"/>
        <v>1</v>
      </c>
      <c r="M26" s="23">
        <v>1</v>
      </c>
      <c r="N26" s="23">
        <v>0</v>
      </c>
      <c r="O26" s="23">
        <v>0</v>
      </c>
      <c r="P26" s="23">
        <v>1</v>
      </c>
      <c r="Q26" s="23">
        <v>0</v>
      </c>
      <c r="R26" s="25">
        <v>3</v>
      </c>
    </row>
    <row r="27" spans="1:18" x14ac:dyDescent="0.25">
      <c r="A27" s="43">
        <v>42167</v>
      </c>
      <c r="B27" s="43"/>
      <c r="C27" s="22" t="s">
        <v>50</v>
      </c>
      <c r="D27" s="23">
        <v>4</v>
      </c>
      <c r="E27" s="23">
        <v>12</v>
      </c>
      <c r="F27" s="38">
        <f t="shared" si="6"/>
        <v>0.33333333333333331</v>
      </c>
      <c r="G27" s="23">
        <v>2</v>
      </c>
      <c r="H27" s="23">
        <v>7</v>
      </c>
      <c r="I27" s="38">
        <f t="shared" si="7"/>
        <v>0.2857142857142857</v>
      </c>
      <c r="J27" s="23">
        <v>2</v>
      </c>
      <c r="K27" s="23">
        <v>2</v>
      </c>
      <c r="L27" s="38">
        <f t="shared" si="8"/>
        <v>1</v>
      </c>
      <c r="M27" s="23">
        <v>5</v>
      </c>
      <c r="N27" s="23">
        <v>2</v>
      </c>
      <c r="O27" s="23">
        <v>2</v>
      </c>
      <c r="P27" s="23">
        <v>0</v>
      </c>
      <c r="Q27" s="23">
        <v>0</v>
      </c>
      <c r="R27" s="25">
        <v>12</v>
      </c>
    </row>
    <row r="28" spans="1:18" x14ac:dyDescent="0.25">
      <c r="A28" s="43">
        <v>42167</v>
      </c>
      <c r="B28" s="43"/>
      <c r="C28" s="22" t="s">
        <v>65</v>
      </c>
      <c r="D28" s="23">
        <v>2</v>
      </c>
      <c r="E28" s="23">
        <v>2</v>
      </c>
      <c r="F28" s="38">
        <f t="shared" si="6"/>
        <v>1</v>
      </c>
      <c r="G28" s="23">
        <v>0</v>
      </c>
      <c r="H28" s="23">
        <v>0</v>
      </c>
      <c r="I28" s="38">
        <f t="shared" si="7"/>
        <v>0</v>
      </c>
      <c r="J28" s="23">
        <v>0</v>
      </c>
      <c r="K28" s="23">
        <v>0</v>
      </c>
      <c r="L28" s="38">
        <f t="shared" si="8"/>
        <v>0</v>
      </c>
      <c r="M28" s="23">
        <v>1</v>
      </c>
      <c r="N28" s="23">
        <v>0</v>
      </c>
      <c r="O28" s="23">
        <v>0</v>
      </c>
      <c r="P28" s="23">
        <v>3</v>
      </c>
      <c r="Q28" s="23">
        <v>1</v>
      </c>
      <c r="R28" s="25">
        <v>4</v>
      </c>
    </row>
    <row r="29" spans="1:18" x14ac:dyDescent="0.25">
      <c r="A29" s="43">
        <v>42169</v>
      </c>
      <c r="B29" s="43"/>
      <c r="C29" s="22" t="s">
        <v>50</v>
      </c>
      <c r="D29" s="23">
        <v>3</v>
      </c>
      <c r="E29" s="23">
        <v>10</v>
      </c>
      <c r="F29" s="38">
        <f t="shared" ref="F29:F38" si="9">IF(E29=0,0,D29/E29)</f>
        <v>0.3</v>
      </c>
      <c r="G29" s="23">
        <v>1</v>
      </c>
      <c r="H29" s="23">
        <v>4</v>
      </c>
      <c r="I29" s="38">
        <f t="shared" ref="I29:I38" si="10">IF(H29=0,0,G29/H29)</f>
        <v>0.25</v>
      </c>
      <c r="J29" s="23">
        <v>3</v>
      </c>
      <c r="K29" s="23">
        <v>4</v>
      </c>
      <c r="L29" s="38">
        <f t="shared" ref="L29:L38" si="11">IF(K29=0,0,J29/K29)</f>
        <v>0.75</v>
      </c>
      <c r="M29" s="23">
        <v>6</v>
      </c>
      <c r="N29" s="23">
        <v>2</v>
      </c>
      <c r="O29" s="23">
        <v>2</v>
      </c>
      <c r="P29" s="23">
        <v>3</v>
      </c>
      <c r="Q29" s="23">
        <v>0</v>
      </c>
      <c r="R29" s="25">
        <v>10</v>
      </c>
    </row>
    <row r="30" spans="1:18" x14ac:dyDescent="0.25">
      <c r="A30" s="43">
        <v>42169</v>
      </c>
      <c r="B30" s="43"/>
      <c r="C30" s="22" t="s">
        <v>46</v>
      </c>
      <c r="D30" s="23">
        <v>4</v>
      </c>
      <c r="E30" s="23">
        <v>8</v>
      </c>
      <c r="F30" s="38">
        <f t="shared" si="9"/>
        <v>0.5</v>
      </c>
      <c r="G30" s="23">
        <v>0</v>
      </c>
      <c r="H30" s="23">
        <v>0</v>
      </c>
      <c r="I30" s="38">
        <f t="shared" si="10"/>
        <v>0</v>
      </c>
      <c r="J30" s="23">
        <v>2</v>
      </c>
      <c r="K30" s="23">
        <v>2</v>
      </c>
      <c r="L30" s="38">
        <f t="shared" si="11"/>
        <v>1</v>
      </c>
      <c r="M30" s="23">
        <v>4</v>
      </c>
      <c r="N30" s="23">
        <v>2</v>
      </c>
      <c r="O30" s="23">
        <v>2</v>
      </c>
      <c r="P30" s="23">
        <v>3</v>
      </c>
      <c r="Q30" s="23">
        <v>0</v>
      </c>
      <c r="R30" s="25">
        <v>10</v>
      </c>
    </row>
    <row r="31" spans="1:18" x14ac:dyDescent="0.25">
      <c r="A31" s="43">
        <v>42169</v>
      </c>
      <c r="B31" s="43"/>
      <c r="C31" s="22" t="s">
        <v>47</v>
      </c>
      <c r="D31" s="23">
        <v>4</v>
      </c>
      <c r="E31" s="23">
        <v>8</v>
      </c>
      <c r="F31" s="38">
        <f t="shared" si="9"/>
        <v>0.5</v>
      </c>
      <c r="G31" s="23">
        <v>1</v>
      </c>
      <c r="H31" s="23">
        <v>4</v>
      </c>
      <c r="I31" s="38">
        <f t="shared" si="10"/>
        <v>0.25</v>
      </c>
      <c r="J31" s="23">
        <v>0</v>
      </c>
      <c r="K31" s="23">
        <v>0</v>
      </c>
      <c r="L31" s="38">
        <f t="shared" si="11"/>
        <v>0</v>
      </c>
      <c r="M31" s="23">
        <v>2</v>
      </c>
      <c r="N31" s="23">
        <v>3</v>
      </c>
      <c r="O31" s="23">
        <v>2</v>
      </c>
      <c r="P31" s="23">
        <v>3</v>
      </c>
      <c r="Q31" s="23">
        <v>0</v>
      </c>
      <c r="R31" s="25">
        <v>9</v>
      </c>
    </row>
    <row r="32" spans="1:18" x14ac:dyDescent="0.25">
      <c r="A32" s="43">
        <v>42169</v>
      </c>
      <c r="B32" s="43"/>
      <c r="C32" s="22" t="s">
        <v>48</v>
      </c>
      <c r="D32" s="23">
        <v>6</v>
      </c>
      <c r="E32" s="23">
        <v>11</v>
      </c>
      <c r="F32" s="38">
        <f t="shared" si="9"/>
        <v>0.54545454545454541</v>
      </c>
      <c r="G32" s="23">
        <v>0</v>
      </c>
      <c r="H32" s="23">
        <v>1</v>
      </c>
      <c r="I32" s="38">
        <f t="shared" si="10"/>
        <v>0</v>
      </c>
      <c r="J32" s="23">
        <v>0</v>
      </c>
      <c r="K32" s="23">
        <v>1</v>
      </c>
      <c r="L32" s="38">
        <f t="shared" si="11"/>
        <v>0</v>
      </c>
      <c r="M32" s="23">
        <v>6</v>
      </c>
      <c r="N32" s="23">
        <v>0</v>
      </c>
      <c r="O32" s="23">
        <v>1</v>
      </c>
      <c r="P32" s="23">
        <v>1</v>
      </c>
      <c r="Q32" s="23">
        <v>0</v>
      </c>
      <c r="R32" s="25">
        <v>12</v>
      </c>
    </row>
    <row r="33" spans="1:18" x14ac:dyDescent="0.25">
      <c r="A33" s="43">
        <v>42169</v>
      </c>
      <c r="B33" s="43"/>
      <c r="C33" s="22" t="s">
        <v>49</v>
      </c>
      <c r="D33" s="23">
        <v>3</v>
      </c>
      <c r="E33" s="23">
        <v>17</v>
      </c>
      <c r="F33" s="38">
        <f t="shared" si="9"/>
        <v>0.17647058823529413</v>
      </c>
      <c r="G33" s="23">
        <v>0</v>
      </c>
      <c r="H33" s="23">
        <v>0</v>
      </c>
      <c r="I33" s="38">
        <f t="shared" si="10"/>
        <v>0</v>
      </c>
      <c r="J33" s="23">
        <v>0</v>
      </c>
      <c r="K33" s="23">
        <v>0</v>
      </c>
      <c r="L33" s="38">
        <f t="shared" si="11"/>
        <v>0</v>
      </c>
      <c r="M33" s="23">
        <v>7</v>
      </c>
      <c r="N33" s="23">
        <v>3</v>
      </c>
      <c r="O33" s="23">
        <v>0</v>
      </c>
      <c r="P33" s="23">
        <v>2</v>
      </c>
      <c r="Q33" s="23">
        <v>1</v>
      </c>
      <c r="R33" s="25">
        <v>6</v>
      </c>
    </row>
    <row r="34" spans="1:18" x14ac:dyDescent="0.25">
      <c r="A34" s="43">
        <v>42169</v>
      </c>
      <c r="B34" s="43"/>
      <c r="C34" s="22" t="s">
        <v>88</v>
      </c>
      <c r="D34" s="23">
        <v>1</v>
      </c>
      <c r="E34" s="23">
        <v>4</v>
      </c>
      <c r="F34" s="38">
        <f t="shared" si="9"/>
        <v>0.25</v>
      </c>
      <c r="G34" s="23">
        <v>0</v>
      </c>
      <c r="H34" s="23">
        <v>0</v>
      </c>
      <c r="I34" s="38">
        <f t="shared" si="10"/>
        <v>0</v>
      </c>
      <c r="J34" s="23">
        <v>0</v>
      </c>
      <c r="K34" s="23">
        <v>0</v>
      </c>
      <c r="L34" s="38">
        <f t="shared" si="11"/>
        <v>0</v>
      </c>
      <c r="M34" s="23">
        <v>2</v>
      </c>
      <c r="N34" s="23">
        <v>0</v>
      </c>
      <c r="O34" s="23">
        <v>0</v>
      </c>
      <c r="P34" s="23">
        <v>2</v>
      </c>
      <c r="Q34" s="23">
        <v>0</v>
      </c>
      <c r="R34" s="25">
        <v>2</v>
      </c>
    </row>
    <row r="35" spans="1:18" x14ac:dyDescent="0.25">
      <c r="A35" s="43">
        <v>42171</v>
      </c>
      <c r="B35" s="43"/>
      <c r="C35" s="22" t="s">
        <v>46</v>
      </c>
      <c r="D35" s="23">
        <v>2</v>
      </c>
      <c r="E35" s="23">
        <v>5</v>
      </c>
      <c r="F35" s="38">
        <f t="shared" si="9"/>
        <v>0.4</v>
      </c>
      <c r="G35" s="23">
        <v>0</v>
      </c>
      <c r="H35" s="23">
        <v>0</v>
      </c>
      <c r="I35" s="38">
        <f t="shared" si="10"/>
        <v>0</v>
      </c>
      <c r="J35" s="23">
        <v>7</v>
      </c>
      <c r="K35" s="23">
        <v>8</v>
      </c>
      <c r="L35" s="38">
        <f t="shared" si="11"/>
        <v>0.875</v>
      </c>
      <c r="M35" s="23">
        <v>6</v>
      </c>
      <c r="N35" s="23">
        <v>2</v>
      </c>
      <c r="O35" s="23">
        <v>4</v>
      </c>
      <c r="P35" s="23">
        <v>1</v>
      </c>
      <c r="Q35" s="23">
        <v>1</v>
      </c>
      <c r="R35" s="25">
        <v>11</v>
      </c>
    </row>
    <row r="36" spans="1:18" x14ac:dyDescent="0.25">
      <c r="A36" s="43">
        <v>42171</v>
      </c>
      <c r="B36" s="43"/>
      <c r="C36" s="22" t="s">
        <v>47</v>
      </c>
      <c r="D36" s="23">
        <v>6</v>
      </c>
      <c r="E36" s="23">
        <v>9</v>
      </c>
      <c r="F36" s="38">
        <f t="shared" si="9"/>
        <v>0.66666666666666663</v>
      </c>
      <c r="G36" s="23">
        <v>4</v>
      </c>
      <c r="H36" s="23">
        <v>4</v>
      </c>
      <c r="I36" s="38">
        <f t="shared" si="10"/>
        <v>1</v>
      </c>
      <c r="J36" s="23">
        <v>0</v>
      </c>
      <c r="K36" s="23">
        <v>0</v>
      </c>
      <c r="L36" s="38">
        <f t="shared" si="11"/>
        <v>0</v>
      </c>
      <c r="M36" s="23">
        <v>0</v>
      </c>
      <c r="N36" s="23">
        <v>2</v>
      </c>
      <c r="O36" s="23">
        <v>2</v>
      </c>
      <c r="P36" s="23">
        <v>3</v>
      </c>
      <c r="Q36" s="23">
        <v>0</v>
      </c>
      <c r="R36" s="25">
        <v>16</v>
      </c>
    </row>
    <row r="37" spans="1:18" x14ac:dyDescent="0.25">
      <c r="A37" s="43">
        <v>42171</v>
      </c>
      <c r="B37" s="43"/>
      <c r="C37" s="22" t="s">
        <v>87</v>
      </c>
      <c r="D37" s="23">
        <v>1</v>
      </c>
      <c r="E37" s="23">
        <v>2</v>
      </c>
      <c r="F37" s="38">
        <f t="shared" si="9"/>
        <v>0.5</v>
      </c>
      <c r="G37" s="23">
        <v>1</v>
      </c>
      <c r="H37" s="23">
        <v>1</v>
      </c>
      <c r="I37" s="38">
        <f t="shared" si="10"/>
        <v>1</v>
      </c>
      <c r="J37" s="23">
        <v>0</v>
      </c>
      <c r="K37" s="23">
        <v>0</v>
      </c>
      <c r="L37" s="38">
        <f t="shared" si="11"/>
        <v>0</v>
      </c>
      <c r="M37" s="23">
        <v>5</v>
      </c>
      <c r="N37" s="23">
        <v>1</v>
      </c>
      <c r="O37" s="23">
        <v>2</v>
      </c>
      <c r="P37" s="23">
        <v>2</v>
      </c>
      <c r="Q37" s="23">
        <v>4</v>
      </c>
      <c r="R37" s="25">
        <v>3</v>
      </c>
    </row>
    <row r="38" spans="1:18" x14ac:dyDescent="0.25">
      <c r="A38" s="43">
        <v>42171</v>
      </c>
      <c r="B38" s="43"/>
      <c r="C38" s="22" t="s">
        <v>88</v>
      </c>
      <c r="D38" s="23">
        <v>1</v>
      </c>
      <c r="E38" s="23">
        <v>3</v>
      </c>
      <c r="F38" s="38">
        <f t="shared" si="9"/>
        <v>0.33333333333333331</v>
      </c>
      <c r="G38" s="23">
        <v>0</v>
      </c>
      <c r="H38" s="23">
        <v>0</v>
      </c>
      <c r="I38" s="38">
        <f t="shared" si="10"/>
        <v>0</v>
      </c>
      <c r="J38" s="23">
        <v>2</v>
      </c>
      <c r="K38" s="23">
        <v>2</v>
      </c>
      <c r="L38" s="38">
        <f t="shared" si="11"/>
        <v>1</v>
      </c>
      <c r="M38" s="23">
        <v>2</v>
      </c>
      <c r="N38" s="23">
        <v>1</v>
      </c>
      <c r="O38" s="23">
        <v>0</v>
      </c>
      <c r="P38" s="23">
        <v>1</v>
      </c>
      <c r="Q38" s="23">
        <v>1</v>
      </c>
      <c r="R38" s="25">
        <v>4</v>
      </c>
    </row>
    <row r="39" spans="1:18" x14ac:dyDescent="0.25">
      <c r="A39" s="43">
        <v>42174</v>
      </c>
      <c r="B39" s="43"/>
      <c r="C39" s="22" t="s">
        <v>46</v>
      </c>
      <c r="D39" s="23">
        <v>6</v>
      </c>
      <c r="E39" s="23">
        <v>11</v>
      </c>
      <c r="F39" s="38">
        <f t="shared" ref="F39:F55" si="12">IF(E39=0,0,D39/E39)</f>
        <v>0.54545454545454541</v>
      </c>
      <c r="G39" s="23">
        <v>0</v>
      </c>
      <c r="H39" s="23">
        <v>0</v>
      </c>
      <c r="I39" s="38">
        <f t="shared" ref="I39:I55" si="13">IF(H39=0,0,G39/H39)</f>
        <v>0</v>
      </c>
      <c r="J39" s="23">
        <v>3</v>
      </c>
      <c r="K39" s="23">
        <v>6</v>
      </c>
      <c r="L39" s="38">
        <f t="shared" ref="L39:L55" si="14">IF(K39=0,0,J39/K39)</f>
        <v>0.5</v>
      </c>
      <c r="M39" s="23">
        <v>9</v>
      </c>
      <c r="N39" s="23">
        <v>1</v>
      </c>
      <c r="O39" s="23">
        <v>1</v>
      </c>
      <c r="P39" s="23">
        <v>3</v>
      </c>
      <c r="Q39" s="23">
        <v>0</v>
      </c>
      <c r="R39" s="25">
        <v>15</v>
      </c>
    </row>
    <row r="40" spans="1:18" x14ac:dyDescent="0.25">
      <c r="A40" s="43">
        <v>42174</v>
      </c>
      <c r="B40" s="43"/>
      <c r="C40" s="22" t="s">
        <v>47</v>
      </c>
      <c r="D40" s="23">
        <v>3</v>
      </c>
      <c r="E40" s="23">
        <v>6</v>
      </c>
      <c r="F40" s="38">
        <f t="shared" si="12"/>
        <v>0.5</v>
      </c>
      <c r="G40" s="23">
        <v>2</v>
      </c>
      <c r="H40" s="23">
        <v>3</v>
      </c>
      <c r="I40" s="38">
        <f t="shared" si="13"/>
        <v>0.66666666666666663</v>
      </c>
      <c r="J40" s="23">
        <v>2</v>
      </c>
      <c r="K40" s="23">
        <v>2</v>
      </c>
      <c r="L40" s="38">
        <f t="shared" si="14"/>
        <v>1</v>
      </c>
      <c r="M40" s="23">
        <v>1</v>
      </c>
      <c r="N40" s="23">
        <v>4</v>
      </c>
      <c r="O40" s="23">
        <v>3</v>
      </c>
      <c r="P40" s="23">
        <v>1</v>
      </c>
      <c r="Q40" s="23">
        <v>0</v>
      </c>
      <c r="R40" s="25">
        <v>10</v>
      </c>
    </row>
    <row r="41" spans="1:18" x14ac:dyDescent="0.25">
      <c r="A41" s="43">
        <v>42174</v>
      </c>
      <c r="B41" s="43"/>
      <c r="C41" s="22" t="s">
        <v>48</v>
      </c>
      <c r="D41" s="23">
        <v>1</v>
      </c>
      <c r="E41" s="23">
        <v>6</v>
      </c>
      <c r="F41" s="38">
        <f t="shared" si="12"/>
        <v>0.16666666666666666</v>
      </c>
      <c r="G41" s="23">
        <v>0</v>
      </c>
      <c r="H41" s="23">
        <v>1</v>
      </c>
      <c r="I41" s="38">
        <f t="shared" si="13"/>
        <v>0</v>
      </c>
      <c r="J41" s="23">
        <v>0</v>
      </c>
      <c r="K41" s="23">
        <v>0</v>
      </c>
      <c r="L41" s="38">
        <f t="shared" si="14"/>
        <v>0</v>
      </c>
      <c r="M41" s="23">
        <v>5</v>
      </c>
      <c r="N41" s="23">
        <v>0</v>
      </c>
      <c r="O41" s="23">
        <v>1</v>
      </c>
      <c r="P41" s="23">
        <v>2</v>
      </c>
      <c r="Q41" s="23">
        <v>0</v>
      </c>
      <c r="R41" s="25">
        <v>2</v>
      </c>
    </row>
    <row r="42" spans="1:18" x14ac:dyDescent="0.25">
      <c r="A42" s="43">
        <v>42174</v>
      </c>
      <c r="B42" s="43"/>
      <c r="C42" s="22" t="s">
        <v>49</v>
      </c>
      <c r="D42" s="23">
        <v>3</v>
      </c>
      <c r="E42" s="23">
        <v>13</v>
      </c>
      <c r="F42" s="38">
        <f t="shared" si="12"/>
        <v>0.23076923076923078</v>
      </c>
      <c r="G42" s="23">
        <v>0</v>
      </c>
      <c r="H42" s="23">
        <v>1</v>
      </c>
      <c r="I42" s="38">
        <f t="shared" si="13"/>
        <v>0</v>
      </c>
      <c r="J42" s="23">
        <v>0</v>
      </c>
      <c r="K42" s="23">
        <v>1</v>
      </c>
      <c r="L42" s="38">
        <f t="shared" si="14"/>
        <v>0</v>
      </c>
      <c r="M42" s="23">
        <v>8</v>
      </c>
      <c r="N42" s="23">
        <v>5</v>
      </c>
      <c r="O42" s="23">
        <v>0</v>
      </c>
      <c r="P42" s="23">
        <v>1</v>
      </c>
      <c r="Q42" s="23">
        <v>0</v>
      </c>
      <c r="R42" s="25">
        <v>6</v>
      </c>
    </row>
    <row r="43" spans="1:18" x14ac:dyDescent="0.25">
      <c r="A43" s="43">
        <v>42174</v>
      </c>
      <c r="B43" s="43"/>
      <c r="C43" s="22" t="s">
        <v>110</v>
      </c>
      <c r="D43" s="23">
        <v>2</v>
      </c>
      <c r="E43" s="23">
        <v>7</v>
      </c>
      <c r="F43" s="38">
        <f t="shared" si="12"/>
        <v>0.2857142857142857</v>
      </c>
      <c r="G43" s="23">
        <v>1</v>
      </c>
      <c r="H43" s="23">
        <v>3</v>
      </c>
      <c r="I43" s="38">
        <f t="shared" si="13"/>
        <v>0.33333333333333331</v>
      </c>
      <c r="J43" s="23">
        <v>3</v>
      </c>
      <c r="K43" s="23">
        <v>4</v>
      </c>
      <c r="L43" s="38">
        <f t="shared" si="14"/>
        <v>0.75</v>
      </c>
      <c r="M43" s="23">
        <v>3</v>
      </c>
      <c r="N43" s="23">
        <v>0</v>
      </c>
      <c r="O43" s="23">
        <v>1</v>
      </c>
      <c r="P43" s="23">
        <v>1</v>
      </c>
      <c r="Q43" s="23">
        <v>0</v>
      </c>
      <c r="R43" s="25">
        <v>8</v>
      </c>
    </row>
    <row r="44" spans="1:18" x14ac:dyDescent="0.25">
      <c r="A44" s="43">
        <v>42176</v>
      </c>
      <c r="B44" s="43"/>
      <c r="C44" s="22" t="s">
        <v>49</v>
      </c>
      <c r="D44" s="23">
        <v>5</v>
      </c>
      <c r="E44" s="23">
        <v>20</v>
      </c>
      <c r="F44" s="38">
        <f t="shared" si="12"/>
        <v>0.25</v>
      </c>
      <c r="G44" s="23">
        <v>0</v>
      </c>
      <c r="H44" s="23">
        <v>0</v>
      </c>
      <c r="I44" s="38">
        <f t="shared" si="13"/>
        <v>0</v>
      </c>
      <c r="J44" s="23">
        <v>3</v>
      </c>
      <c r="K44" s="23">
        <v>4</v>
      </c>
      <c r="L44" s="38">
        <f t="shared" si="14"/>
        <v>0.75</v>
      </c>
      <c r="M44" s="23">
        <v>12</v>
      </c>
      <c r="N44" s="23">
        <v>2</v>
      </c>
      <c r="O44" s="23">
        <v>2</v>
      </c>
      <c r="P44" s="23">
        <v>3</v>
      </c>
      <c r="Q44" s="23">
        <v>1</v>
      </c>
      <c r="R44" s="25">
        <v>13</v>
      </c>
    </row>
    <row r="45" spans="1:18" x14ac:dyDescent="0.25">
      <c r="A45" s="43">
        <v>42176</v>
      </c>
      <c r="B45" s="43"/>
      <c r="C45" s="22" t="s">
        <v>48</v>
      </c>
      <c r="D45" s="23">
        <v>1</v>
      </c>
      <c r="E45" s="23">
        <v>5</v>
      </c>
      <c r="F45" s="38">
        <f t="shared" si="12"/>
        <v>0.2</v>
      </c>
      <c r="G45" s="23">
        <v>0</v>
      </c>
      <c r="H45" s="23">
        <v>0</v>
      </c>
      <c r="I45" s="38">
        <f t="shared" si="13"/>
        <v>0</v>
      </c>
      <c r="J45" s="23">
        <v>2</v>
      </c>
      <c r="K45" s="23">
        <v>2</v>
      </c>
      <c r="L45" s="38">
        <f t="shared" si="14"/>
        <v>1</v>
      </c>
      <c r="M45" s="23">
        <v>4</v>
      </c>
      <c r="N45" s="23">
        <v>3</v>
      </c>
      <c r="O45" s="23">
        <v>2</v>
      </c>
      <c r="P45" s="23">
        <v>0</v>
      </c>
      <c r="Q45" s="23">
        <v>0</v>
      </c>
      <c r="R45" s="25">
        <v>4</v>
      </c>
    </row>
    <row r="46" spans="1:18" x14ac:dyDescent="0.25">
      <c r="A46" s="43">
        <v>42176</v>
      </c>
      <c r="B46" s="43"/>
      <c r="C46" s="22" t="s">
        <v>110</v>
      </c>
      <c r="D46" s="23">
        <v>0</v>
      </c>
      <c r="E46" s="23">
        <v>2</v>
      </c>
      <c r="F46" s="38">
        <f t="shared" si="12"/>
        <v>0</v>
      </c>
      <c r="G46" s="23">
        <v>0</v>
      </c>
      <c r="H46" s="23">
        <v>1</v>
      </c>
      <c r="I46" s="38">
        <f t="shared" si="13"/>
        <v>0</v>
      </c>
      <c r="J46" s="23">
        <v>1</v>
      </c>
      <c r="K46" s="23">
        <v>2</v>
      </c>
      <c r="L46" s="38">
        <f t="shared" si="14"/>
        <v>0.5</v>
      </c>
      <c r="M46" s="23">
        <v>4</v>
      </c>
      <c r="N46" s="23">
        <v>1</v>
      </c>
      <c r="O46" s="23">
        <v>1</v>
      </c>
      <c r="P46" s="23">
        <v>3</v>
      </c>
      <c r="Q46" s="23">
        <v>0</v>
      </c>
      <c r="R46" s="25">
        <v>1</v>
      </c>
    </row>
    <row r="47" spans="1:18" x14ac:dyDescent="0.25">
      <c r="A47" s="43">
        <v>42176</v>
      </c>
      <c r="B47" s="43"/>
      <c r="C47" s="22" t="s">
        <v>46</v>
      </c>
      <c r="D47" s="23">
        <v>2</v>
      </c>
      <c r="E47" s="23">
        <v>7</v>
      </c>
      <c r="F47" s="38">
        <f t="shared" si="12"/>
        <v>0.2857142857142857</v>
      </c>
      <c r="G47" s="23">
        <v>0</v>
      </c>
      <c r="H47" s="23">
        <v>0</v>
      </c>
      <c r="I47" s="38">
        <f t="shared" si="13"/>
        <v>0</v>
      </c>
      <c r="J47" s="23">
        <v>1</v>
      </c>
      <c r="K47" s="23">
        <v>2</v>
      </c>
      <c r="L47" s="38">
        <f t="shared" si="14"/>
        <v>0.5</v>
      </c>
      <c r="M47" s="23">
        <v>8</v>
      </c>
      <c r="N47" s="23">
        <v>1</v>
      </c>
      <c r="O47" s="23">
        <v>0</v>
      </c>
      <c r="P47" s="23">
        <v>1</v>
      </c>
      <c r="Q47" s="23">
        <v>0</v>
      </c>
      <c r="R47" s="25">
        <v>5</v>
      </c>
    </row>
    <row r="48" spans="1:18" x14ac:dyDescent="0.25">
      <c r="A48" s="43">
        <v>42176</v>
      </c>
      <c r="B48" s="43"/>
      <c r="C48" s="22" t="s">
        <v>47</v>
      </c>
      <c r="D48" s="23">
        <v>4</v>
      </c>
      <c r="E48" s="23">
        <v>8</v>
      </c>
      <c r="F48" s="38">
        <f t="shared" si="12"/>
        <v>0.5</v>
      </c>
      <c r="G48" s="23">
        <v>0</v>
      </c>
      <c r="H48" s="23">
        <v>1</v>
      </c>
      <c r="I48" s="38">
        <f t="shared" si="13"/>
        <v>0</v>
      </c>
      <c r="J48" s="23">
        <v>3</v>
      </c>
      <c r="K48" s="23">
        <v>6</v>
      </c>
      <c r="L48" s="38">
        <f t="shared" si="14"/>
        <v>0.5</v>
      </c>
      <c r="M48" s="23">
        <v>4</v>
      </c>
      <c r="N48" s="23">
        <v>3</v>
      </c>
      <c r="O48" s="23">
        <v>3</v>
      </c>
      <c r="P48" s="23">
        <v>2</v>
      </c>
      <c r="Q48" s="23">
        <v>0</v>
      </c>
      <c r="R48" s="25">
        <v>11</v>
      </c>
    </row>
    <row r="49" spans="1:18" x14ac:dyDescent="0.25">
      <c r="A49" s="43">
        <v>42176</v>
      </c>
      <c r="B49" s="43"/>
      <c r="C49" s="22" t="s">
        <v>87</v>
      </c>
      <c r="D49" s="23">
        <v>2</v>
      </c>
      <c r="E49" s="23">
        <v>5</v>
      </c>
      <c r="F49" s="38">
        <f t="shared" si="12"/>
        <v>0.4</v>
      </c>
      <c r="G49" s="23">
        <v>0</v>
      </c>
      <c r="H49" s="23">
        <v>2</v>
      </c>
      <c r="I49" s="38">
        <f t="shared" si="13"/>
        <v>0</v>
      </c>
      <c r="J49" s="23">
        <v>0</v>
      </c>
      <c r="K49" s="23">
        <v>0</v>
      </c>
      <c r="L49" s="38">
        <f t="shared" si="14"/>
        <v>0</v>
      </c>
      <c r="M49" s="23">
        <v>5</v>
      </c>
      <c r="N49" s="23">
        <v>0</v>
      </c>
      <c r="O49" s="23">
        <v>1</v>
      </c>
      <c r="P49" s="23">
        <v>3</v>
      </c>
      <c r="Q49" s="23">
        <v>4</v>
      </c>
      <c r="R49" s="25">
        <v>4</v>
      </c>
    </row>
    <row r="50" spans="1:18" x14ac:dyDescent="0.25">
      <c r="A50" s="43">
        <v>42180</v>
      </c>
      <c r="B50" s="43"/>
      <c r="C50" s="22" t="s">
        <v>104</v>
      </c>
      <c r="D50" s="23">
        <v>1</v>
      </c>
      <c r="E50" s="23">
        <v>5</v>
      </c>
      <c r="F50" s="38">
        <f t="shared" si="12"/>
        <v>0.2</v>
      </c>
      <c r="G50" s="23">
        <v>0</v>
      </c>
      <c r="H50" s="23">
        <v>0</v>
      </c>
      <c r="I50" s="38">
        <f t="shared" si="13"/>
        <v>0</v>
      </c>
      <c r="J50" s="23">
        <v>1</v>
      </c>
      <c r="K50" s="23">
        <v>2</v>
      </c>
      <c r="L50" s="38">
        <f t="shared" si="14"/>
        <v>0.5</v>
      </c>
      <c r="M50" s="23">
        <v>3</v>
      </c>
      <c r="N50" s="23">
        <v>0</v>
      </c>
      <c r="O50" s="23">
        <v>1</v>
      </c>
      <c r="P50" s="23">
        <v>0</v>
      </c>
      <c r="Q50" s="23">
        <v>0</v>
      </c>
      <c r="R50" s="25">
        <v>3</v>
      </c>
    </row>
    <row r="51" spans="1:18" x14ac:dyDescent="0.25">
      <c r="A51" s="43">
        <v>42180</v>
      </c>
      <c r="B51" s="43"/>
      <c r="C51" s="22" t="s">
        <v>87</v>
      </c>
      <c r="D51" s="23">
        <v>4</v>
      </c>
      <c r="E51" s="23">
        <v>8</v>
      </c>
      <c r="F51" s="38">
        <f t="shared" si="12"/>
        <v>0.5</v>
      </c>
      <c r="G51" s="23">
        <v>3</v>
      </c>
      <c r="H51" s="23">
        <v>7</v>
      </c>
      <c r="I51" s="38">
        <f t="shared" si="13"/>
        <v>0.42857142857142855</v>
      </c>
      <c r="J51" s="23">
        <v>1</v>
      </c>
      <c r="K51" s="23">
        <v>2</v>
      </c>
      <c r="L51" s="38">
        <f t="shared" si="14"/>
        <v>0.5</v>
      </c>
      <c r="M51" s="23">
        <v>9</v>
      </c>
      <c r="N51" s="23">
        <v>1</v>
      </c>
      <c r="O51" s="23">
        <v>0</v>
      </c>
      <c r="P51" s="23">
        <v>1</v>
      </c>
      <c r="Q51" s="23">
        <v>1</v>
      </c>
      <c r="R51" s="25">
        <v>12</v>
      </c>
    </row>
    <row r="52" spans="1:18" x14ac:dyDescent="0.25">
      <c r="A52" s="43">
        <v>42181</v>
      </c>
      <c r="B52" s="43"/>
      <c r="C52" s="22" t="s">
        <v>49</v>
      </c>
      <c r="D52" s="23">
        <v>4</v>
      </c>
      <c r="E52" s="23">
        <v>14</v>
      </c>
      <c r="F52" s="38">
        <f t="shared" si="12"/>
        <v>0.2857142857142857</v>
      </c>
      <c r="G52" s="23">
        <v>0</v>
      </c>
      <c r="H52" s="23">
        <v>0</v>
      </c>
      <c r="I52" s="38">
        <f t="shared" si="13"/>
        <v>0</v>
      </c>
      <c r="J52" s="23">
        <v>1</v>
      </c>
      <c r="K52" s="23">
        <v>2</v>
      </c>
      <c r="L52" s="38">
        <f t="shared" si="14"/>
        <v>0.5</v>
      </c>
      <c r="M52" s="23">
        <v>8</v>
      </c>
      <c r="N52" s="23">
        <v>1</v>
      </c>
      <c r="O52" s="23">
        <v>1</v>
      </c>
      <c r="P52" s="23">
        <v>4</v>
      </c>
      <c r="Q52" s="23">
        <v>1</v>
      </c>
      <c r="R52" s="25">
        <v>9</v>
      </c>
    </row>
    <row r="53" spans="1:18" x14ac:dyDescent="0.25">
      <c r="A53" s="43">
        <v>42181</v>
      </c>
      <c r="B53" s="43"/>
      <c r="C53" s="22" t="s">
        <v>48</v>
      </c>
      <c r="D53" s="23">
        <v>3</v>
      </c>
      <c r="E53" s="23">
        <v>8</v>
      </c>
      <c r="F53" s="38">
        <f t="shared" si="12"/>
        <v>0.375</v>
      </c>
      <c r="G53" s="23">
        <v>1</v>
      </c>
      <c r="H53" s="23">
        <v>2</v>
      </c>
      <c r="I53" s="38">
        <f t="shared" si="13"/>
        <v>0.5</v>
      </c>
      <c r="J53" s="23">
        <v>0</v>
      </c>
      <c r="K53" s="23">
        <v>1</v>
      </c>
      <c r="L53" s="38">
        <f t="shared" si="14"/>
        <v>0</v>
      </c>
      <c r="M53" s="23">
        <v>1</v>
      </c>
      <c r="N53" s="23">
        <v>1</v>
      </c>
      <c r="O53" s="23">
        <v>0</v>
      </c>
      <c r="P53" s="23">
        <v>2</v>
      </c>
      <c r="Q53" s="23">
        <v>0</v>
      </c>
      <c r="R53" s="25">
        <v>7</v>
      </c>
    </row>
    <row r="54" spans="1:18" x14ac:dyDescent="0.25">
      <c r="A54" s="43">
        <v>42181</v>
      </c>
      <c r="B54" s="43"/>
      <c r="C54" s="22" t="s">
        <v>47</v>
      </c>
      <c r="D54" s="23">
        <v>4</v>
      </c>
      <c r="E54" s="23">
        <v>7</v>
      </c>
      <c r="F54" s="38">
        <f t="shared" si="12"/>
        <v>0.5714285714285714</v>
      </c>
      <c r="G54" s="23">
        <v>1</v>
      </c>
      <c r="H54" s="23">
        <v>2</v>
      </c>
      <c r="I54" s="38">
        <f t="shared" si="13"/>
        <v>0.5</v>
      </c>
      <c r="J54" s="23">
        <v>2</v>
      </c>
      <c r="K54" s="23">
        <v>2</v>
      </c>
      <c r="L54" s="38">
        <f t="shared" si="14"/>
        <v>1</v>
      </c>
      <c r="M54" s="23">
        <v>2</v>
      </c>
      <c r="N54" s="23">
        <v>2</v>
      </c>
      <c r="O54" s="23">
        <v>0</v>
      </c>
      <c r="P54" s="23">
        <v>4</v>
      </c>
      <c r="Q54" s="23">
        <v>0</v>
      </c>
      <c r="R54" s="25">
        <v>11</v>
      </c>
    </row>
    <row r="55" spans="1:18" x14ac:dyDescent="0.25">
      <c r="A55" s="43">
        <v>42181</v>
      </c>
      <c r="B55" s="43"/>
      <c r="C55" s="22" t="s">
        <v>46</v>
      </c>
      <c r="D55" s="23">
        <v>4</v>
      </c>
      <c r="E55" s="23">
        <v>13</v>
      </c>
      <c r="F55" s="38">
        <f t="shared" si="12"/>
        <v>0.30769230769230771</v>
      </c>
      <c r="G55" s="23">
        <v>0</v>
      </c>
      <c r="H55" s="23">
        <v>0</v>
      </c>
      <c r="I55" s="38">
        <f t="shared" si="13"/>
        <v>0</v>
      </c>
      <c r="J55" s="23">
        <v>3</v>
      </c>
      <c r="K55" s="23">
        <v>7</v>
      </c>
      <c r="L55" s="38">
        <f t="shared" si="14"/>
        <v>0.42857142857142855</v>
      </c>
      <c r="M55" s="23">
        <v>7</v>
      </c>
      <c r="N55" s="23">
        <v>2</v>
      </c>
      <c r="O55" s="23">
        <v>2</v>
      </c>
      <c r="P55" s="23">
        <v>3</v>
      </c>
      <c r="Q55" s="23">
        <v>0</v>
      </c>
      <c r="R55" s="25">
        <v>11</v>
      </c>
    </row>
    <row r="56" spans="1:18" x14ac:dyDescent="0.25">
      <c r="A56" s="21">
        <v>42182</v>
      </c>
      <c r="B56" s="20"/>
      <c r="C56" s="15" t="s">
        <v>87</v>
      </c>
      <c r="D56" s="16">
        <v>0</v>
      </c>
      <c r="E56" s="16">
        <v>1</v>
      </c>
      <c r="F56" s="19">
        <f t="shared" ref="F56:F73" si="15">IF(E56=0,0,D56/E56)</f>
        <v>0</v>
      </c>
      <c r="G56" s="16">
        <v>0</v>
      </c>
      <c r="H56" s="16">
        <v>0</v>
      </c>
      <c r="I56" s="19">
        <f t="shared" ref="I56:I73" si="16">IF(H56=0,0,G56/H56)</f>
        <v>0</v>
      </c>
      <c r="J56" s="16">
        <v>0</v>
      </c>
      <c r="K56" s="16">
        <v>0</v>
      </c>
      <c r="L56" s="19">
        <f t="shared" ref="L56:L73" si="17">IF(K56=0,0,J56/K56)</f>
        <v>0</v>
      </c>
      <c r="M56" s="16">
        <v>1</v>
      </c>
      <c r="N56" s="16">
        <v>0</v>
      </c>
      <c r="O56" s="16">
        <v>0</v>
      </c>
      <c r="P56" s="16">
        <v>0</v>
      </c>
      <c r="Q56" s="16">
        <v>1</v>
      </c>
      <c r="R56" s="16">
        <v>0</v>
      </c>
    </row>
    <row r="57" spans="1:18" x14ac:dyDescent="0.25">
      <c r="A57" s="21">
        <v>42182</v>
      </c>
      <c r="B57" s="20"/>
      <c r="C57" s="15" t="s">
        <v>104</v>
      </c>
      <c r="D57" s="16">
        <v>0</v>
      </c>
      <c r="E57" s="16">
        <v>2</v>
      </c>
      <c r="F57" s="19">
        <f t="shared" si="15"/>
        <v>0</v>
      </c>
      <c r="G57" s="16">
        <v>0</v>
      </c>
      <c r="H57" s="16">
        <v>0</v>
      </c>
      <c r="I57" s="19">
        <f t="shared" si="16"/>
        <v>0</v>
      </c>
      <c r="J57" s="16">
        <v>0</v>
      </c>
      <c r="K57" s="16">
        <v>0</v>
      </c>
      <c r="L57" s="19">
        <f t="shared" si="17"/>
        <v>0</v>
      </c>
      <c r="M57" s="16">
        <v>0</v>
      </c>
      <c r="N57" s="16">
        <v>0</v>
      </c>
      <c r="O57" s="16">
        <v>1</v>
      </c>
      <c r="P57" s="16">
        <v>0</v>
      </c>
      <c r="Q57" s="16">
        <v>0</v>
      </c>
      <c r="R57" s="16">
        <v>0</v>
      </c>
    </row>
    <row r="58" spans="1:18" x14ac:dyDescent="0.25">
      <c r="A58" s="21">
        <v>42183</v>
      </c>
      <c r="B58" s="20"/>
      <c r="C58" s="15" t="s">
        <v>49</v>
      </c>
      <c r="D58" s="16">
        <v>7</v>
      </c>
      <c r="E58" s="16">
        <v>17</v>
      </c>
      <c r="F58" s="19">
        <f t="shared" si="15"/>
        <v>0.41176470588235292</v>
      </c>
      <c r="G58" s="16">
        <v>0</v>
      </c>
      <c r="H58" s="16">
        <v>0</v>
      </c>
      <c r="I58" s="19">
        <f t="shared" si="16"/>
        <v>0</v>
      </c>
      <c r="J58" s="16">
        <v>2</v>
      </c>
      <c r="K58" s="16">
        <v>3</v>
      </c>
      <c r="L58" s="19">
        <f t="shared" si="17"/>
        <v>0.66666666666666663</v>
      </c>
      <c r="M58" s="16">
        <v>9</v>
      </c>
      <c r="N58" s="16">
        <v>5</v>
      </c>
      <c r="O58" s="16">
        <v>0</v>
      </c>
      <c r="P58" s="16">
        <v>2</v>
      </c>
      <c r="Q58" s="16">
        <v>0</v>
      </c>
      <c r="R58" s="16">
        <v>16</v>
      </c>
    </row>
    <row r="59" spans="1:18" x14ac:dyDescent="0.25">
      <c r="A59" s="21">
        <v>42183</v>
      </c>
      <c r="B59" s="20"/>
      <c r="C59" s="15" t="s">
        <v>48</v>
      </c>
      <c r="D59" s="16">
        <v>4</v>
      </c>
      <c r="E59" s="16">
        <v>9</v>
      </c>
      <c r="F59" s="19">
        <f t="shared" si="15"/>
        <v>0.44444444444444442</v>
      </c>
      <c r="G59" s="16">
        <v>1</v>
      </c>
      <c r="H59" s="16">
        <v>4</v>
      </c>
      <c r="I59" s="19">
        <f t="shared" si="16"/>
        <v>0.25</v>
      </c>
      <c r="J59" s="16">
        <v>0</v>
      </c>
      <c r="K59" s="16">
        <v>0</v>
      </c>
      <c r="L59" s="19">
        <f t="shared" si="17"/>
        <v>0</v>
      </c>
      <c r="M59" s="16">
        <v>2</v>
      </c>
      <c r="N59" s="16">
        <v>4</v>
      </c>
      <c r="O59" s="16">
        <v>0</v>
      </c>
      <c r="P59" s="16">
        <v>1</v>
      </c>
      <c r="Q59" s="16">
        <v>1</v>
      </c>
      <c r="R59" s="16">
        <v>9</v>
      </c>
    </row>
    <row r="60" spans="1:18" x14ac:dyDescent="0.25">
      <c r="A60" s="21">
        <v>42183</v>
      </c>
      <c r="B60" s="20"/>
      <c r="C60" s="15" t="s">
        <v>123</v>
      </c>
      <c r="D60" s="16">
        <v>7</v>
      </c>
      <c r="E60" s="16">
        <v>14</v>
      </c>
      <c r="F60" s="19">
        <f t="shared" si="15"/>
        <v>0.5</v>
      </c>
      <c r="G60" s="16">
        <v>3</v>
      </c>
      <c r="H60" s="16">
        <v>6</v>
      </c>
      <c r="I60" s="19">
        <f t="shared" si="16"/>
        <v>0.5</v>
      </c>
      <c r="J60" s="16">
        <v>6</v>
      </c>
      <c r="K60" s="16">
        <v>6</v>
      </c>
      <c r="L60" s="19">
        <f t="shared" si="17"/>
        <v>1</v>
      </c>
      <c r="M60" s="16">
        <v>5</v>
      </c>
      <c r="N60" s="16">
        <v>3</v>
      </c>
      <c r="O60" s="16">
        <v>0</v>
      </c>
      <c r="P60" s="16">
        <v>0</v>
      </c>
      <c r="Q60" s="16">
        <v>0</v>
      </c>
      <c r="R60" s="16">
        <v>23</v>
      </c>
    </row>
    <row r="61" spans="1:18" x14ac:dyDescent="0.25">
      <c r="A61" s="21">
        <v>42183</v>
      </c>
      <c r="B61" s="20"/>
      <c r="C61" s="15" t="s">
        <v>87</v>
      </c>
      <c r="D61" s="16">
        <v>0</v>
      </c>
      <c r="E61" s="16">
        <v>2</v>
      </c>
      <c r="F61" s="19">
        <f t="shared" si="15"/>
        <v>0</v>
      </c>
      <c r="G61" s="16">
        <v>0</v>
      </c>
      <c r="H61" s="16">
        <v>1</v>
      </c>
      <c r="I61" s="19">
        <f t="shared" si="16"/>
        <v>0</v>
      </c>
      <c r="J61" s="16">
        <v>0</v>
      </c>
      <c r="K61" s="16">
        <v>0</v>
      </c>
      <c r="L61" s="19">
        <f t="shared" si="17"/>
        <v>0</v>
      </c>
      <c r="M61" s="16">
        <v>4</v>
      </c>
      <c r="N61" s="16">
        <v>2</v>
      </c>
      <c r="O61" s="16">
        <v>1</v>
      </c>
      <c r="P61" s="16">
        <v>0</v>
      </c>
      <c r="Q61" s="16">
        <v>0</v>
      </c>
      <c r="R61" s="16">
        <v>0</v>
      </c>
    </row>
    <row r="62" spans="1:18" x14ac:dyDescent="0.25">
      <c r="A62" s="43">
        <v>42185</v>
      </c>
      <c r="B62" s="43"/>
      <c r="C62" s="22" t="s">
        <v>46</v>
      </c>
      <c r="D62" s="23">
        <v>4</v>
      </c>
      <c r="E62" s="23">
        <v>9</v>
      </c>
      <c r="F62" s="38">
        <f t="shared" si="15"/>
        <v>0.44444444444444442</v>
      </c>
      <c r="G62" s="23">
        <v>0</v>
      </c>
      <c r="H62" s="23">
        <v>0</v>
      </c>
      <c r="I62" s="38">
        <f t="shared" si="16"/>
        <v>0</v>
      </c>
      <c r="J62" s="23">
        <v>4</v>
      </c>
      <c r="K62" s="23">
        <v>6</v>
      </c>
      <c r="L62" s="38">
        <f t="shared" si="17"/>
        <v>0.66666666666666663</v>
      </c>
      <c r="M62" s="23">
        <v>5</v>
      </c>
      <c r="N62" s="23">
        <v>3</v>
      </c>
      <c r="O62" s="23">
        <v>1</v>
      </c>
      <c r="P62" s="23">
        <v>3</v>
      </c>
      <c r="Q62" s="23">
        <v>1</v>
      </c>
      <c r="R62" s="25">
        <v>12</v>
      </c>
    </row>
    <row r="63" spans="1:18" x14ac:dyDescent="0.25">
      <c r="A63" s="43">
        <v>42185</v>
      </c>
      <c r="B63" s="43"/>
      <c r="C63" s="22" t="s">
        <v>47</v>
      </c>
      <c r="D63" s="23">
        <v>2</v>
      </c>
      <c r="E63" s="23">
        <v>4</v>
      </c>
      <c r="F63" s="38">
        <f t="shared" si="15"/>
        <v>0.5</v>
      </c>
      <c r="G63" s="23">
        <v>1</v>
      </c>
      <c r="H63" s="23">
        <v>2</v>
      </c>
      <c r="I63" s="38">
        <f t="shared" si="16"/>
        <v>0.5</v>
      </c>
      <c r="J63" s="23">
        <v>0</v>
      </c>
      <c r="K63" s="23">
        <v>0</v>
      </c>
      <c r="L63" s="38">
        <f t="shared" si="17"/>
        <v>0</v>
      </c>
      <c r="M63" s="23">
        <v>1</v>
      </c>
      <c r="N63" s="23">
        <v>1</v>
      </c>
      <c r="O63" s="23">
        <v>0</v>
      </c>
      <c r="P63" s="23">
        <v>0</v>
      </c>
      <c r="Q63" s="23">
        <v>0</v>
      </c>
      <c r="R63" s="25">
        <v>5</v>
      </c>
    </row>
    <row r="64" spans="1:18" x14ac:dyDescent="0.25">
      <c r="A64" s="43">
        <v>42185</v>
      </c>
      <c r="B64" s="43"/>
      <c r="C64" s="22" t="s">
        <v>49</v>
      </c>
      <c r="D64" s="23">
        <v>10</v>
      </c>
      <c r="E64" s="23">
        <v>19</v>
      </c>
      <c r="F64" s="38">
        <f t="shared" si="15"/>
        <v>0.52631578947368418</v>
      </c>
      <c r="G64" s="23">
        <v>0</v>
      </c>
      <c r="H64" s="23">
        <v>0</v>
      </c>
      <c r="I64" s="38">
        <f t="shared" si="16"/>
        <v>0</v>
      </c>
      <c r="J64" s="23">
        <v>6</v>
      </c>
      <c r="K64" s="23">
        <v>7</v>
      </c>
      <c r="L64" s="38">
        <f t="shared" si="17"/>
        <v>0.8571428571428571</v>
      </c>
      <c r="M64" s="23">
        <v>11</v>
      </c>
      <c r="N64" s="23">
        <v>5</v>
      </c>
      <c r="O64" s="23">
        <v>0</v>
      </c>
      <c r="P64" s="23">
        <v>2</v>
      </c>
      <c r="Q64" s="23">
        <v>1</v>
      </c>
      <c r="R64" s="25">
        <v>26</v>
      </c>
    </row>
    <row r="65" spans="1:18" x14ac:dyDescent="0.25">
      <c r="A65" s="43">
        <v>42185</v>
      </c>
      <c r="B65" s="43"/>
      <c r="C65" s="22" t="s">
        <v>48</v>
      </c>
      <c r="D65" s="23">
        <v>2</v>
      </c>
      <c r="E65" s="23">
        <v>10</v>
      </c>
      <c r="F65" s="38">
        <f t="shared" si="15"/>
        <v>0.2</v>
      </c>
      <c r="G65" s="23">
        <v>0</v>
      </c>
      <c r="H65" s="23">
        <v>3</v>
      </c>
      <c r="I65" s="38">
        <f t="shared" si="16"/>
        <v>0</v>
      </c>
      <c r="J65" s="23">
        <v>4</v>
      </c>
      <c r="K65" s="23">
        <v>4</v>
      </c>
      <c r="L65" s="38">
        <f t="shared" si="17"/>
        <v>1</v>
      </c>
      <c r="M65" s="23">
        <v>4</v>
      </c>
      <c r="N65" s="23">
        <v>7</v>
      </c>
      <c r="O65" s="23">
        <v>0</v>
      </c>
      <c r="P65" s="23">
        <v>1</v>
      </c>
      <c r="Q65" s="23">
        <v>0</v>
      </c>
      <c r="R65" s="25">
        <v>8</v>
      </c>
    </row>
    <row r="66" spans="1:18" x14ac:dyDescent="0.25">
      <c r="A66" s="43">
        <v>42185</v>
      </c>
      <c r="B66" s="43"/>
      <c r="C66" s="22" t="s">
        <v>123</v>
      </c>
      <c r="D66" s="23">
        <v>4</v>
      </c>
      <c r="E66" s="23">
        <v>12</v>
      </c>
      <c r="F66" s="38">
        <f t="shared" si="15"/>
        <v>0.33333333333333331</v>
      </c>
      <c r="G66" s="23">
        <v>3</v>
      </c>
      <c r="H66" s="23">
        <v>7</v>
      </c>
      <c r="I66" s="38">
        <f t="shared" si="16"/>
        <v>0.42857142857142855</v>
      </c>
      <c r="J66" s="23">
        <v>0</v>
      </c>
      <c r="K66" s="23">
        <v>0</v>
      </c>
      <c r="L66" s="38">
        <f t="shared" si="17"/>
        <v>0</v>
      </c>
      <c r="M66" s="23">
        <v>3</v>
      </c>
      <c r="N66" s="23">
        <v>1</v>
      </c>
      <c r="O66" s="23">
        <v>3</v>
      </c>
      <c r="P66" s="23">
        <v>0</v>
      </c>
      <c r="Q66" s="23">
        <v>1</v>
      </c>
      <c r="R66" s="25">
        <v>11</v>
      </c>
    </row>
    <row r="67" spans="1:18" x14ac:dyDescent="0.25">
      <c r="A67" s="43">
        <v>42185</v>
      </c>
      <c r="B67" s="43"/>
      <c r="C67" s="22" t="s">
        <v>87</v>
      </c>
      <c r="D67" s="23">
        <v>0</v>
      </c>
      <c r="E67" s="23">
        <v>4</v>
      </c>
      <c r="F67" s="38">
        <f t="shared" si="15"/>
        <v>0</v>
      </c>
      <c r="G67" s="23">
        <v>0</v>
      </c>
      <c r="H67" s="23">
        <v>2</v>
      </c>
      <c r="I67" s="38">
        <f t="shared" si="16"/>
        <v>0</v>
      </c>
      <c r="J67" s="23">
        <v>0</v>
      </c>
      <c r="K67" s="23">
        <v>0</v>
      </c>
      <c r="L67" s="38">
        <f t="shared" si="17"/>
        <v>0</v>
      </c>
      <c r="M67" s="23">
        <v>2</v>
      </c>
      <c r="N67" s="23">
        <v>0</v>
      </c>
      <c r="O67" s="23">
        <v>0</v>
      </c>
      <c r="P67" s="23">
        <v>3</v>
      </c>
      <c r="Q67" s="23">
        <v>0</v>
      </c>
      <c r="R67" s="25">
        <v>0</v>
      </c>
    </row>
    <row r="68" spans="1:18" x14ac:dyDescent="0.25">
      <c r="A68" s="26">
        <v>42187</v>
      </c>
      <c r="B68" s="26"/>
      <c r="C68" s="52" t="s">
        <v>136</v>
      </c>
      <c r="D68" s="53">
        <v>4</v>
      </c>
      <c r="E68" s="53">
        <v>8</v>
      </c>
      <c r="F68" s="24">
        <f t="shared" si="15"/>
        <v>0.5</v>
      </c>
      <c r="G68" s="53">
        <v>0</v>
      </c>
      <c r="H68" s="53">
        <v>0</v>
      </c>
      <c r="I68" s="24">
        <f t="shared" si="16"/>
        <v>0</v>
      </c>
      <c r="J68" s="53">
        <v>4</v>
      </c>
      <c r="K68" s="53">
        <v>5</v>
      </c>
      <c r="L68" s="24">
        <f t="shared" si="17"/>
        <v>0.8</v>
      </c>
      <c r="M68" s="53">
        <v>9</v>
      </c>
      <c r="N68" s="53">
        <v>0</v>
      </c>
      <c r="O68" s="53">
        <v>1</v>
      </c>
      <c r="P68" s="53">
        <v>4</v>
      </c>
      <c r="Q68" s="53">
        <v>1</v>
      </c>
      <c r="R68" s="54">
        <v>12</v>
      </c>
    </row>
    <row r="69" spans="1:18" x14ac:dyDescent="0.25">
      <c r="A69" s="26">
        <v>42187</v>
      </c>
      <c r="B69" s="26"/>
      <c r="C69" s="52" t="s">
        <v>135</v>
      </c>
      <c r="D69" s="53">
        <v>1</v>
      </c>
      <c r="E69" s="53">
        <v>7</v>
      </c>
      <c r="F69" s="24">
        <f t="shared" si="15"/>
        <v>0.14285714285714285</v>
      </c>
      <c r="G69" s="53">
        <v>1</v>
      </c>
      <c r="H69" s="53">
        <v>3</v>
      </c>
      <c r="I69" s="24">
        <f t="shared" si="16"/>
        <v>0.33333333333333331</v>
      </c>
      <c r="J69" s="53">
        <v>2</v>
      </c>
      <c r="K69" s="53">
        <v>2</v>
      </c>
      <c r="L69" s="24">
        <f t="shared" si="17"/>
        <v>1</v>
      </c>
      <c r="M69" s="53">
        <v>2</v>
      </c>
      <c r="N69" s="53">
        <v>2</v>
      </c>
      <c r="O69" s="53">
        <v>0</v>
      </c>
      <c r="P69" s="53">
        <v>1</v>
      </c>
      <c r="Q69" s="53">
        <v>0</v>
      </c>
      <c r="R69" s="54">
        <v>5</v>
      </c>
    </row>
    <row r="70" spans="1:18" x14ac:dyDescent="0.25">
      <c r="A70" s="43">
        <v>42187</v>
      </c>
      <c r="B70" s="43"/>
      <c r="C70" s="22" t="s">
        <v>134</v>
      </c>
      <c r="D70" s="23">
        <v>2</v>
      </c>
      <c r="E70" s="23">
        <v>9</v>
      </c>
      <c r="F70" s="38">
        <f t="shared" si="15"/>
        <v>0.22222222222222221</v>
      </c>
      <c r="G70" s="23">
        <v>0</v>
      </c>
      <c r="H70" s="23">
        <v>3</v>
      </c>
      <c r="I70" s="38">
        <f t="shared" si="16"/>
        <v>0</v>
      </c>
      <c r="J70" s="23">
        <v>0</v>
      </c>
      <c r="K70" s="23">
        <v>0</v>
      </c>
      <c r="L70" s="38">
        <f t="shared" si="17"/>
        <v>0</v>
      </c>
      <c r="M70" s="23">
        <v>1</v>
      </c>
      <c r="N70" s="23">
        <v>2</v>
      </c>
      <c r="O70" s="23">
        <v>1</v>
      </c>
      <c r="P70" s="23">
        <v>3</v>
      </c>
      <c r="Q70" s="23">
        <v>0</v>
      </c>
      <c r="R70" s="25">
        <v>4</v>
      </c>
    </row>
    <row r="71" spans="1:18" x14ac:dyDescent="0.25">
      <c r="A71" s="43">
        <v>42188</v>
      </c>
      <c r="B71" s="43"/>
      <c r="C71" s="22" t="s">
        <v>134</v>
      </c>
      <c r="D71" s="23">
        <v>2</v>
      </c>
      <c r="E71" s="23">
        <v>5</v>
      </c>
      <c r="F71" s="38">
        <f t="shared" si="15"/>
        <v>0.4</v>
      </c>
      <c r="G71" s="23">
        <v>0</v>
      </c>
      <c r="H71" s="23">
        <v>2</v>
      </c>
      <c r="I71" s="38">
        <f t="shared" si="16"/>
        <v>0</v>
      </c>
      <c r="J71" s="23">
        <v>0</v>
      </c>
      <c r="K71" s="23">
        <v>0</v>
      </c>
      <c r="L71" s="38">
        <f t="shared" si="17"/>
        <v>0</v>
      </c>
      <c r="M71" s="23">
        <v>0</v>
      </c>
      <c r="N71" s="23">
        <v>2</v>
      </c>
      <c r="O71" s="23">
        <v>1</v>
      </c>
      <c r="P71" s="23">
        <v>2</v>
      </c>
      <c r="Q71" s="23">
        <v>0</v>
      </c>
      <c r="R71" s="25">
        <v>4</v>
      </c>
    </row>
    <row r="72" spans="1:18" x14ac:dyDescent="0.25">
      <c r="A72" s="43">
        <v>42190</v>
      </c>
      <c r="B72" s="43"/>
      <c r="C72" s="22" t="s">
        <v>50</v>
      </c>
      <c r="D72" s="23">
        <v>3</v>
      </c>
      <c r="E72" s="23">
        <v>15</v>
      </c>
      <c r="F72" s="38">
        <f t="shared" si="15"/>
        <v>0.2</v>
      </c>
      <c r="G72" s="23">
        <v>0</v>
      </c>
      <c r="H72" s="23">
        <v>7</v>
      </c>
      <c r="I72" s="38">
        <f t="shared" si="16"/>
        <v>0</v>
      </c>
      <c r="J72" s="23">
        <v>6</v>
      </c>
      <c r="K72" s="23">
        <v>7</v>
      </c>
      <c r="L72" s="38">
        <f t="shared" si="17"/>
        <v>0.8571428571428571</v>
      </c>
      <c r="M72" s="23">
        <v>4</v>
      </c>
      <c r="N72" s="23">
        <v>4</v>
      </c>
      <c r="O72" s="23">
        <v>1</v>
      </c>
      <c r="P72" s="23">
        <v>4</v>
      </c>
      <c r="Q72" s="23">
        <v>0</v>
      </c>
      <c r="R72" s="25">
        <v>12</v>
      </c>
    </row>
    <row r="73" spans="1:18" x14ac:dyDescent="0.25">
      <c r="A73" s="43">
        <v>42190</v>
      </c>
      <c r="B73" s="43"/>
      <c r="C73" s="22" t="s">
        <v>65</v>
      </c>
      <c r="D73" s="23">
        <v>1</v>
      </c>
      <c r="E73" s="23">
        <v>2</v>
      </c>
      <c r="F73" s="38">
        <f t="shared" si="15"/>
        <v>0.5</v>
      </c>
      <c r="G73" s="23">
        <v>0</v>
      </c>
      <c r="H73" s="23">
        <v>0</v>
      </c>
      <c r="I73" s="38">
        <f t="shared" si="16"/>
        <v>0</v>
      </c>
      <c r="J73" s="23">
        <v>0</v>
      </c>
      <c r="K73" s="23">
        <v>0</v>
      </c>
      <c r="L73" s="38">
        <f t="shared" si="17"/>
        <v>0</v>
      </c>
      <c r="M73" s="23">
        <v>4</v>
      </c>
      <c r="N73" s="23">
        <v>1</v>
      </c>
      <c r="O73" s="23">
        <v>0</v>
      </c>
      <c r="P73" s="23">
        <v>1</v>
      </c>
      <c r="Q73" s="23">
        <v>0</v>
      </c>
      <c r="R73" s="25">
        <v>2</v>
      </c>
    </row>
    <row r="74" spans="1:18" x14ac:dyDescent="0.25">
      <c r="A74" s="43">
        <v>42192</v>
      </c>
      <c r="B74" s="43"/>
      <c r="C74" s="22" t="s">
        <v>134</v>
      </c>
      <c r="D74" s="23">
        <v>7</v>
      </c>
      <c r="E74" s="23">
        <v>15</v>
      </c>
      <c r="F74" s="38">
        <f t="shared" ref="F74:F79" si="18">IF(E74=0,0,D74/E74)</f>
        <v>0.46666666666666667</v>
      </c>
      <c r="G74" s="23">
        <v>1</v>
      </c>
      <c r="H74" s="23">
        <v>5</v>
      </c>
      <c r="I74" s="38">
        <f t="shared" ref="I74:I79" si="19">IF(H74=0,0,G74/H74)</f>
        <v>0.2</v>
      </c>
      <c r="J74" s="23">
        <v>1</v>
      </c>
      <c r="K74" s="23">
        <v>2</v>
      </c>
      <c r="L74" s="38">
        <f t="shared" ref="L74:L79" si="20">IF(K74=0,0,J74/K74)</f>
        <v>0.5</v>
      </c>
      <c r="M74" s="23">
        <v>0</v>
      </c>
      <c r="N74" s="23">
        <v>4</v>
      </c>
      <c r="O74" s="23">
        <v>2</v>
      </c>
      <c r="P74" s="23">
        <v>2</v>
      </c>
      <c r="Q74" s="23">
        <v>0</v>
      </c>
      <c r="R74" s="25">
        <v>16</v>
      </c>
    </row>
    <row r="75" spans="1:18" x14ac:dyDescent="0.25">
      <c r="A75" s="43">
        <v>42192</v>
      </c>
      <c r="B75" s="43"/>
      <c r="C75" s="22" t="s">
        <v>50</v>
      </c>
      <c r="D75" s="23">
        <v>3</v>
      </c>
      <c r="E75" s="23">
        <v>10</v>
      </c>
      <c r="F75" s="38">
        <f t="shared" si="18"/>
        <v>0.3</v>
      </c>
      <c r="G75" s="23">
        <v>0</v>
      </c>
      <c r="H75" s="23">
        <v>4</v>
      </c>
      <c r="I75" s="38">
        <f t="shared" si="19"/>
        <v>0</v>
      </c>
      <c r="J75" s="23">
        <v>1</v>
      </c>
      <c r="K75" s="23">
        <v>2</v>
      </c>
      <c r="L75" s="38">
        <f t="shared" si="20"/>
        <v>0.5</v>
      </c>
      <c r="M75" s="23">
        <v>4</v>
      </c>
      <c r="N75" s="23">
        <v>3</v>
      </c>
      <c r="O75" s="23">
        <v>1</v>
      </c>
      <c r="P75" s="23">
        <v>5</v>
      </c>
      <c r="Q75" s="23">
        <v>0</v>
      </c>
      <c r="R75" s="25">
        <v>7</v>
      </c>
    </row>
    <row r="76" spans="1:18" x14ac:dyDescent="0.25">
      <c r="A76" s="43">
        <v>42192</v>
      </c>
      <c r="B76" s="43"/>
      <c r="C76" s="22" t="s">
        <v>65</v>
      </c>
      <c r="D76" s="23">
        <v>6</v>
      </c>
      <c r="E76" s="23">
        <v>9</v>
      </c>
      <c r="F76" s="38">
        <f t="shared" si="18"/>
        <v>0.66666666666666663</v>
      </c>
      <c r="G76" s="23">
        <v>0</v>
      </c>
      <c r="H76" s="23">
        <v>0</v>
      </c>
      <c r="I76" s="38">
        <f t="shared" si="19"/>
        <v>0</v>
      </c>
      <c r="J76" s="23">
        <v>1</v>
      </c>
      <c r="K76" s="23">
        <v>1</v>
      </c>
      <c r="L76" s="38">
        <f t="shared" si="20"/>
        <v>1</v>
      </c>
      <c r="M76" s="23">
        <v>6</v>
      </c>
      <c r="N76" s="23">
        <v>1</v>
      </c>
      <c r="O76" s="23">
        <v>0</v>
      </c>
      <c r="P76" s="23">
        <v>2</v>
      </c>
      <c r="Q76" s="23">
        <v>0</v>
      </c>
      <c r="R76" s="25">
        <v>13</v>
      </c>
    </row>
    <row r="77" spans="1:18" x14ac:dyDescent="0.25">
      <c r="A77" s="43">
        <v>42194</v>
      </c>
      <c r="B77" s="43"/>
      <c r="C77" s="22" t="s">
        <v>48</v>
      </c>
      <c r="D77" s="23">
        <v>2</v>
      </c>
      <c r="E77" s="23">
        <v>5</v>
      </c>
      <c r="F77" s="38">
        <f t="shared" si="18"/>
        <v>0.4</v>
      </c>
      <c r="G77" s="23">
        <v>0</v>
      </c>
      <c r="H77" s="23">
        <v>2</v>
      </c>
      <c r="I77" s="38">
        <f t="shared" si="19"/>
        <v>0</v>
      </c>
      <c r="J77" s="23">
        <v>2</v>
      </c>
      <c r="K77" s="23">
        <v>2</v>
      </c>
      <c r="L77" s="38">
        <f t="shared" si="20"/>
        <v>1</v>
      </c>
      <c r="M77" s="23">
        <v>3</v>
      </c>
      <c r="N77" s="23">
        <v>1</v>
      </c>
      <c r="O77" s="23">
        <v>0</v>
      </c>
      <c r="P77" s="23">
        <v>2</v>
      </c>
      <c r="Q77" s="23">
        <v>1</v>
      </c>
      <c r="R77" s="25">
        <v>6</v>
      </c>
    </row>
    <row r="78" spans="1:18" x14ac:dyDescent="0.25">
      <c r="A78" s="43">
        <v>42194</v>
      </c>
      <c r="B78" s="43"/>
      <c r="C78" s="22" t="s">
        <v>123</v>
      </c>
      <c r="D78" s="23">
        <v>4</v>
      </c>
      <c r="E78" s="23">
        <v>12</v>
      </c>
      <c r="F78" s="38">
        <f t="shared" si="18"/>
        <v>0.33333333333333331</v>
      </c>
      <c r="G78" s="23">
        <v>2</v>
      </c>
      <c r="H78" s="23">
        <v>8</v>
      </c>
      <c r="I78" s="38">
        <f t="shared" si="19"/>
        <v>0.25</v>
      </c>
      <c r="J78" s="23">
        <v>5</v>
      </c>
      <c r="K78" s="23">
        <v>7</v>
      </c>
      <c r="L78" s="38">
        <f t="shared" si="20"/>
        <v>0.7142857142857143</v>
      </c>
      <c r="M78" s="23">
        <v>7</v>
      </c>
      <c r="N78" s="23">
        <v>2</v>
      </c>
      <c r="O78" s="23">
        <v>3</v>
      </c>
      <c r="P78" s="23">
        <v>1</v>
      </c>
      <c r="Q78" s="23">
        <v>0</v>
      </c>
      <c r="R78" s="25">
        <v>15</v>
      </c>
    </row>
    <row r="79" spans="1:18" x14ac:dyDescent="0.25">
      <c r="A79" s="43">
        <v>42194</v>
      </c>
      <c r="B79" s="43"/>
      <c r="C79" s="22" t="s">
        <v>49</v>
      </c>
      <c r="D79" s="23">
        <v>8</v>
      </c>
      <c r="E79" s="23">
        <v>20</v>
      </c>
      <c r="F79" s="38">
        <f t="shared" si="18"/>
        <v>0.4</v>
      </c>
      <c r="G79" s="23">
        <v>0</v>
      </c>
      <c r="H79" s="23">
        <v>0</v>
      </c>
      <c r="I79" s="38">
        <f t="shared" si="19"/>
        <v>0</v>
      </c>
      <c r="J79" s="23">
        <v>5</v>
      </c>
      <c r="K79" s="23">
        <v>6</v>
      </c>
      <c r="L79" s="38">
        <f t="shared" si="20"/>
        <v>0.83333333333333337</v>
      </c>
      <c r="M79" s="23">
        <v>10</v>
      </c>
      <c r="N79" s="23">
        <v>1</v>
      </c>
      <c r="O79" s="23">
        <v>1</v>
      </c>
      <c r="P79" s="23">
        <v>4</v>
      </c>
      <c r="Q79" s="23">
        <v>0</v>
      </c>
      <c r="R79" s="25">
        <v>21</v>
      </c>
    </row>
    <row r="80" spans="1:18" x14ac:dyDescent="0.25">
      <c r="A80" s="43">
        <v>42196</v>
      </c>
      <c r="B80" s="43"/>
      <c r="C80" s="22" t="s">
        <v>134</v>
      </c>
      <c r="D80" s="23">
        <v>3</v>
      </c>
      <c r="E80" s="23">
        <v>4</v>
      </c>
      <c r="F80" s="38">
        <f t="shared" ref="F80:F86" si="21">IF(E80=0,0,D80/E80)</f>
        <v>0.75</v>
      </c>
      <c r="G80" s="23">
        <v>0</v>
      </c>
      <c r="H80" s="23">
        <v>1</v>
      </c>
      <c r="I80" s="38">
        <f t="shared" ref="I80:I86" si="22">IF(H80=0,0,G80/H80)</f>
        <v>0</v>
      </c>
      <c r="J80" s="23">
        <v>4</v>
      </c>
      <c r="K80" s="23">
        <v>4</v>
      </c>
      <c r="L80" s="38">
        <f t="shared" ref="L80:L86" si="23">IF(K80=0,0,J80/K80)</f>
        <v>1</v>
      </c>
      <c r="M80" s="23">
        <v>0</v>
      </c>
      <c r="N80" s="23">
        <v>0</v>
      </c>
      <c r="O80" s="23">
        <v>1</v>
      </c>
      <c r="P80" s="23">
        <v>0</v>
      </c>
      <c r="Q80" s="23">
        <v>0</v>
      </c>
      <c r="R80" s="25">
        <v>10</v>
      </c>
    </row>
    <row r="81" spans="1:18" x14ac:dyDescent="0.25">
      <c r="A81" s="43">
        <v>42197</v>
      </c>
      <c r="B81" s="43"/>
      <c r="C81" s="22" t="s">
        <v>65</v>
      </c>
      <c r="D81" s="23">
        <v>2</v>
      </c>
      <c r="E81" s="23">
        <v>3</v>
      </c>
      <c r="F81" s="38">
        <f t="shared" si="21"/>
        <v>0.66666666666666663</v>
      </c>
      <c r="G81" s="23">
        <v>0</v>
      </c>
      <c r="H81" s="23">
        <v>0</v>
      </c>
      <c r="I81" s="38">
        <f t="shared" si="22"/>
        <v>0</v>
      </c>
      <c r="J81" s="23">
        <v>2</v>
      </c>
      <c r="K81" s="23">
        <v>2</v>
      </c>
      <c r="L81" s="38">
        <f t="shared" si="23"/>
        <v>1</v>
      </c>
      <c r="M81" s="23">
        <v>7</v>
      </c>
      <c r="N81" s="23">
        <v>0</v>
      </c>
      <c r="O81" s="23">
        <v>2</v>
      </c>
      <c r="P81" s="23">
        <v>0</v>
      </c>
      <c r="Q81" s="23">
        <v>2</v>
      </c>
      <c r="R81" s="25">
        <v>6</v>
      </c>
    </row>
    <row r="82" spans="1:18" x14ac:dyDescent="0.25">
      <c r="A82" s="43">
        <v>42197</v>
      </c>
      <c r="B82" s="43"/>
      <c r="C82" s="22" t="s">
        <v>50</v>
      </c>
      <c r="D82" s="23">
        <v>2</v>
      </c>
      <c r="E82" s="23">
        <v>6</v>
      </c>
      <c r="F82" s="38">
        <f t="shared" si="21"/>
        <v>0.33333333333333331</v>
      </c>
      <c r="G82" s="23">
        <v>1</v>
      </c>
      <c r="H82" s="23">
        <v>3</v>
      </c>
      <c r="I82" s="38">
        <f t="shared" si="22"/>
        <v>0.33333333333333331</v>
      </c>
      <c r="J82" s="23">
        <v>2</v>
      </c>
      <c r="K82" s="23">
        <v>4</v>
      </c>
      <c r="L82" s="38">
        <f t="shared" si="23"/>
        <v>0.5</v>
      </c>
      <c r="M82" s="23">
        <v>0</v>
      </c>
      <c r="N82" s="23">
        <v>2</v>
      </c>
      <c r="O82" s="23">
        <v>1</v>
      </c>
      <c r="P82" s="23">
        <v>3</v>
      </c>
      <c r="Q82" s="23">
        <v>0</v>
      </c>
      <c r="R82" s="25">
        <v>7</v>
      </c>
    </row>
    <row r="83" spans="1:18" x14ac:dyDescent="0.25">
      <c r="A83" s="43">
        <v>42197</v>
      </c>
      <c r="B83" s="43"/>
      <c r="C83" s="22" t="s">
        <v>140</v>
      </c>
      <c r="D83" s="23">
        <v>4</v>
      </c>
      <c r="E83" s="23">
        <v>12</v>
      </c>
      <c r="F83" s="38">
        <f t="shared" si="21"/>
        <v>0.33333333333333331</v>
      </c>
      <c r="G83" s="23">
        <v>1</v>
      </c>
      <c r="H83" s="23">
        <v>4</v>
      </c>
      <c r="I83" s="38">
        <f t="shared" si="22"/>
        <v>0.25</v>
      </c>
      <c r="J83" s="23">
        <v>5</v>
      </c>
      <c r="K83" s="23">
        <v>6</v>
      </c>
      <c r="L83" s="38">
        <f t="shared" si="23"/>
        <v>0.83333333333333337</v>
      </c>
      <c r="M83" s="23">
        <v>3</v>
      </c>
      <c r="N83" s="23">
        <v>4</v>
      </c>
      <c r="O83" s="23">
        <v>3</v>
      </c>
      <c r="P83" s="23">
        <v>1</v>
      </c>
      <c r="Q83" s="23">
        <v>0</v>
      </c>
      <c r="R83" s="25">
        <v>14</v>
      </c>
    </row>
    <row r="84" spans="1:18" x14ac:dyDescent="0.25">
      <c r="A84" s="43">
        <v>42197</v>
      </c>
      <c r="B84" s="43"/>
      <c r="C84" s="22" t="s">
        <v>123</v>
      </c>
      <c r="D84" s="23">
        <v>1</v>
      </c>
      <c r="E84" s="23">
        <v>6</v>
      </c>
      <c r="F84" s="38">
        <f t="shared" si="21"/>
        <v>0.16666666666666666</v>
      </c>
      <c r="G84" s="23">
        <v>1</v>
      </c>
      <c r="H84" s="23">
        <v>4</v>
      </c>
      <c r="I84" s="38">
        <f t="shared" si="22"/>
        <v>0.25</v>
      </c>
      <c r="J84" s="23">
        <v>0</v>
      </c>
      <c r="K84" s="23">
        <v>0</v>
      </c>
      <c r="L84" s="38">
        <f t="shared" si="23"/>
        <v>0</v>
      </c>
      <c r="M84" s="23">
        <v>1</v>
      </c>
      <c r="N84" s="23">
        <v>2</v>
      </c>
      <c r="O84" s="23">
        <v>0</v>
      </c>
      <c r="P84" s="23">
        <v>2</v>
      </c>
      <c r="Q84" s="23">
        <v>0</v>
      </c>
      <c r="R84" s="25">
        <v>3</v>
      </c>
    </row>
    <row r="85" spans="1:18" x14ac:dyDescent="0.25">
      <c r="A85" s="21">
        <v>42197</v>
      </c>
      <c r="B85" s="20"/>
      <c r="C85" s="15" t="s">
        <v>49</v>
      </c>
      <c r="D85" s="16">
        <v>10</v>
      </c>
      <c r="E85" s="16">
        <v>15</v>
      </c>
      <c r="F85" s="55">
        <f t="shared" si="21"/>
        <v>0.66666666666666663</v>
      </c>
      <c r="G85" s="16">
        <v>0</v>
      </c>
      <c r="H85" s="16">
        <v>0</v>
      </c>
      <c r="I85" s="55">
        <f t="shared" si="22"/>
        <v>0</v>
      </c>
      <c r="J85" s="16">
        <v>2</v>
      </c>
      <c r="K85" s="16">
        <v>3</v>
      </c>
      <c r="L85" s="55">
        <f t="shared" si="23"/>
        <v>0.66666666666666663</v>
      </c>
      <c r="M85" s="16">
        <v>7</v>
      </c>
      <c r="N85" s="16">
        <v>1</v>
      </c>
      <c r="O85" s="16">
        <v>0</v>
      </c>
      <c r="P85" s="16">
        <v>5</v>
      </c>
      <c r="Q85" s="16">
        <v>0</v>
      </c>
      <c r="R85" s="16">
        <v>22</v>
      </c>
    </row>
    <row r="86" spans="1:18" x14ac:dyDescent="0.25">
      <c r="A86" s="21">
        <v>42197</v>
      </c>
      <c r="B86" s="20"/>
      <c r="C86" s="15" t="s">
        <v>46</v>
      </c>
      <c r="D86" s="16">
        <v>1</v>
      </c>
      <c r="E86" s="16">
        <v>2</v>
      </c>
      <c r="F86" s="55">
        <f t="shared" si="21"/>
        <v>0.5</v>
      </c>
      <c r="G86" s="16">
        <v>0</v>
      </c>
      <c r="H86" s="16">
        <v>0</v>
      </c>
      <c r="I86" s="55">
        <f t="shared" si="22"/>
        <v>0</v>
      </c>
      <c r="J86" s="16">
        <v>1</v>
      </c>
      <c r="K86" s="16">
        <v>2</v>
      </c>
      <c r="L86" s="55">
        <f t="shared" si="23"/>
        <v>0.5</v>
      </c>
      <c r="M86" s="16">
        <v>1</v>
      </c>
      <c r="N86" s="16">
        <v>2</v>
      </c>
      <c r="O86" s="16">
        <v>1</v>
      </c>
      <c r="P86" s="16">
        <v>1</v>
      </c>
      <c r="Q86" s="16">
        <v>0</v>
      </c>
      <c r="R86" s="16">
        <v>3</v>
      </c>
    </row>
    <row r="87" spans="1:18" x14ac:dyDescent="0.25">
      <c r="A87" s="21">
        <v>42199</v>
      </c>
      <c r="B87" s="20"/>
      <c r="C87" s="15" t="s">
        <v>46</v>
      </c>
      <c r="D87" s="16">
        <v>0</v>
      </c>
      <c r="E87" s="16">
        <v>6</v>
      </c>
      <c r="F87" s="56">
        <f t="shared" ref="F87:F100" si="24">IF(E87=0,0,D87/E87)</f>
        <v>0</v>
      </c>
      <c r="G87" s="16">
        <v>0</v>
      </c>
      <c r="H87" s="16">
        <v>0</v>
      </c>
      <c r="I87" s="56">
        <f t="shared" ref="I87:I100" si="25">IF(H87=0,0,G87/H87)</f>
        <v>0</v>
      </c>
      <c r="J87" s="16">
        <v>2</v>
      </c>
      <c r="K87" s="16">
        <v>4</v>
      </c>
      <c r="L87" s="56">
        <f t="shared" ref="L87:L100" si="26">IF(K87=0,0,J87/K87)</f>
        <v>0.5</v>
      </c>
      <c r="M87" s="16">
        <v>3</v>
      </c>
      <c r="N87" s="16">
        <v>0</v>
      </c>
      <c r="O87" s="16">
        <v>0</v>
      </c>
      <c r="P87" s="16">
        <v>1</v>
      </c>
      <c r="Q87" s="16">
        <v>0</v>
      </c>
      <c r="R87" s="16">
        <v>2</v>
      </c>
    </row>
    <row r="88" spans="1:18" x14ac:dyDescent="0.25">
      <c r="A88" s="21">
        <v>42199</v>
      </c>
      <c r="B88" s="20"/>
      <c r="C88" s="15" t="s">
        <v>47</v>
      </c>
      <c r="D88" s="16">
        <v>3</v>
      </c>
      <c r="E88" s="16">
        <v>7</v>
      </c>
      <c r="F88" s="56">
        <f t="shared" si="24"/>
        <v>0.42857142857142855</v>
      </c>
      <c r="G88" s="16">
        <v>0</v>
      </c>
      <c r="H88" s="16">
        <v>1</v>
      </c>
      <c r="I88" s="56">
        <f t="shared" si="25"/>
        <v>0</v>
      </c>
      <c r="J88" s="16">
        <v>1</v>
      </c>
      <c r="K88" s="16">
        <v>2</v>
      </c>
      <c r="L88" s="56">
        <f t="shared" si="26"/>
        <v>0.5</v>
      </c>
      <c r="M88" s="16">
        <v>1</v>
      </c>
      <c r="N88" s="16">
        <v>5</v>
      </c>
      <c r="O88" s="16">
        <v>2</v>
      </c>
      <c r="P88" s="16">
        <v>3</v>
      </c>
      <c r="Q88" s="16">
        <v>1</v>
      </c>
      <c r="R88" s="16">
        <v>7</v>
      </c>
    </row>
    <row r="89" spans="1:18" x14ac:dyDescent="0.25">
      <c r="A89" s="21">
        <v>42199</v>
      </c>
      <c r="B89" s="20"/>
      <c r="C89" s="15" t="s">
        <v>65</v>
      </c>
      <c r="D89" s="16">
        <v>1</v>
      </c>
      <c r="E89" s="16">
        <v>2</v>
      </c>
      <c r="F89" s="56">
        <f t="shared" si="24"/>
        <v>0.5</v>
      </c>
      <c r="G89" s="16">
        <v>0</v>
      </c>
      <c r="H89" s="16">
        <v>0</v>
      </c>
      <c r="I89" s="56">
        <f t="shared" si="25"/>
        <v>0</v>
      </c>
      <c r="J89" s="16">
        <v>0</v>
      </c>
      <c r="K89" s="16">
        <v>0</v>
      </c>
      <c r="L89" s="56">
        <f t="shared" si="26"/>
        <v>0</v>
      </c>
      <c r="M89" s="16">
        <v>1</v>
      </c>
      <c r="N89" s="16">
        <v>0</v>
      </c>
      <c r="O89" s="16">
        <v>0</v>
      </c>
      <c r="P89" s="16">
        <v>0</v>
      </c>
      <c r="Q89" s="16">
        <v>1</v>
      </c>
      <c r="R89" s="16">
        <v>2</v>
      </c>
    </row>
    <row r="90" spans="1:18" x14ac:dyDescent="0.25">
      <c r="A90" s="21">
        <v>42199</v>
      </c>
      <c r="B90" s="20"/>
      <c r="C90" s="15" t="s">
        <v>50</v>
      </c>
      <c r="D90" s="16">
        <v>6</v>
      </c>
      <c r="E90" s="16">
        <v>10</v>
      </c>
      <c r="F90" s="56">
        <f t="shared" si="24"/>
        <v>0.6</v>
      </c>
      <c r="G90" s="16">
        <v>3</v>
      </c>
      <c r="H90" s="16">
        <v>4</v>
      </c>
      <c r="I90" s="56">
        <f t="shared" si="25"/>
        <v>0.75</v>
      </c>
      <c r="J90" s="16">
        <v>4</v>
      </c>
      <c r="K90" s="16">
        <v>4</v>
      </c>
      <c r="L90" s="56">
        <f t="shared" si="26"/>
        <v>1</v>
      </c>
      <c r="M90" s="16">
        <v>3</v>
      </c>
      <c r="N90" s="16">
        <v>2</v>
      </c>
      <c r="O90" s="16">
        <v>0</v>
      </c>
      <c r="P90" s="16">
        <v>1</v>
      </c>
      <c r="Q90" s="16">
        <v>0</v>
      </c>
      <c r="R90" s="16">
        <v>19</v>
      </c>
    </row>
    <row r="91" spans="1:18" x14ac:dyDescent="0.25">
      <c r="A91" s="21">
        <v>42200</v>
      </c>
      <c r="B91" s="20"/>
      <c r="C91" s="15" t="s">
        <v>49</v>
      </c>
      <c r="D91" s="16">
        <v>6</v>
      </c>
      <c r="E91" s="16">
        <v>12</v>
      </c>
      <c r="F91" s="56">
        <f t="shared" si="24"/>
        <v>0.5</v>
      </c>
      <c r="G91" s="16">
        <v>0</v>
      </c>
      <c r="H91" s="16">
        <v>0</v>
      </c>
      <c r="I91" s="56">
        <f t="shared" si="25"/>
        <v>0</v>
      </c>
      <c r="J91" s="16">
        <v>2</v>
      </c>
      <c r="K91" s="16">
        <v>3</v>
      </c>
      <c r="L91" s="56">
        <f t="shared" si="26"/>
        <v>0.66666666666666663</v>
      </c>
      <c r="M91" s="16">
        <v>6</v>
      </c>
      <c r="N91" s="16">
        <v>1</v>
      </c>
      <c r="O91" s="16">
        <v>1</v>
      </c>
      <c r="P91" s="16">
        <v>3</v>
      </c>
      <c r="Q91" s="16">
        <v>2</v>
      </c>
      <c r="R91" s="16">
        <v>14</v>
      </c>
    </row>
    <row r="92" spans="1:18" x14ac:dyDescent="0.25">
      <c r="A92" s="21">
        <v>42200</v>
      </c>
      <c r="B92" s="20"/>
      <c r="C92" s="15" t="s">
        <v>140</v>
      </c>
      <c r="D92" s="16">
        <v>5</v>
      </c>
      <c r="E92" s="16">
        <v>9</v>
      </c>
      <c r="F92" s="56">
        <f t="shared" si="24"/>
        <v>0.55555555555555558</v>
      </c>
      <c r="G92" s="16">
        <v>1</v>
      </c>
      <c r="H92" s="16">
        <v>3</v>
      </c>
      <c r="I92" s="56">
        <f t="shared" si="25"/>
        <v>0.33333333333333331</v>
      </c>
      <c r="J92" s="16">
        <v>2</v>
      </c>
      <c r="K92" s="16">
        <v>3</v>
      </c>
      <c r="L92" s="56">
        <f t="shared" si="26"/>
        <v>0.66666666666666663</v>
      </c>
      <c r="M92" s="16">
        <v>2</v>
      </c>
      <c r="N92" s="16">
        <v>4</v>
      </c>
      <c r="O92" s="16">
        <v>0</v>
      </c>
      <c r="P92" s="16">
        <v>1</v>
      </c>
      <c r="Q92" s="16">
        <v>0</v>
      </c>
      <c r="R92" s="16">
        <v>13</v>
      </c>
    </row>
    <row r="93" spans="1:18" x14ac:dyDescent="0.25">
      <c r="A93" s="21">
        <v>42200</v>
      </c>
      <c r="B93" s="20"/>
      <c r="C93" s="15" t="s">
        <v>123</v>
      </c>
      <c r="D93" s="16">
        <v>5</v>
      </c>
      <c r="E93" s="16">
        <v>10</v>
      </c>
      <c r="F93" s="56">
        <f t="shared" si="24"/>
        <v>0.5</v>
      </c>
      <c r="G93" s="16">
        <v>2</v>
      </c>
      <c r="H93" s="16">
        <v>5</v>
      </c>
      <c r="I93" s="56">
        <f t="shared" si="25"/>
        <v>0.4</v>
      </c>
      <c r="J93" s="16">
        <v>1</v>
      </c>
      <c r="K93" s="16">
        <v>1</v>
      </c>
      <c r="L93" s="56">
        <f t="shared" si="26"/>
        <v>1</v>
      </c>
      <c r="M93" s="16">
        <v>4</v>
      </c>
      <c r="N93" s="16">
        <v>5</v>
      </c>
      <c r="O93" s="16">
        <v>2</v>
      </c>
      <c r="P93" s="16">
        <v>0</v>
      </c>
      <c r="Q93" s="16">
        <v>0</v>
      </c>
      <c r="R93" s="16">
        <v>13</v>
      </c>
    </row>
    <row r="94" spans="1:18" x14ac:dyDescent="0.25">
      <c r="A94" s="43">
        <v>42200</v>
      </c>
      <c r="B94" s="43"/>
      <c r="C94" s="22" t="s">
        <v>48</v>
      </c>
      <c r="D94" s="23">
        <v>7</v>
      </c>
      <c r="E94" s="23">
        <v>12</v>
      </c>
      <c r="F94" s="38">
        <f t="shared" si="24"/>
        <v>0.58333333333333337</v>
      </c>
      <c r="G94" s="23">
        <v>1</v>
      </c>
      <c r="H94" s="23">
        <v>3</v>
      </c>
      <c r="I94" s="38">
        <f t="shared" si="25"/>
        <v>0.33333333333333331</v>
      </c>
      <c r="J94" s="23">
        <v>1</v>
      </c>
      <c r="K94" s="23">
        <v>1</v>
      </c>
      <c r="L94" s="38">
        <f t="shared" si="26"/>
        <v>1</v>
      </c>
      <c r="M94" s="23">
        <v>2</v>
      </c>
      <c r="N94" s="23">
        <v>1</v>
      </c>
      <c r="O94" s="23">
        <v>0</v>
      </c>
      <c r="P94" s="23">
        <v>1</v>
      </c>
      <c r="Q94" s="23">
        <v>0</v>
      </c>
      <c r="R94" s="25">
        <v>16</v>
      </c>
    </row>
    <row r="95" spans="1:18" x14ac:dyDescent="0.25">
      <c r="A95" s="65">
        <v>42201</v>
      </c>
      <c r="B95" s="65"/>
      <c r="C95" s="66" t="s">
        <v>49</v>
      </c>
      <c r="D95" s="67">
        <v>7</v>
      </c>
      <c r="E95" s="67">
        <v>13</v>
      </c>
      <c r="F95" s="68">
        <f t="shared" si="24"/>
        <v>0.53846153846153844</v>
      </c>
      <c r="G95" s="67">
        <v>0</v>
      </c>
      <c r="H95" s="67">
        <v>0</v>
      </c>
      <c r="I95" s="68">
        <f t="shared" si="25"/>
        <v>0</v>
      </c>
      <c r="J95" s="67">
        <v>8</v>
      </c>
      <c r="K95" s="67">
        <v>12</v>
      </c>
      <c r="L95" s="68">
        <f t="shared" si="26"/>
        <v>0.66666666666666663</v>
      </c>
      <c r="M95" s="67">
        <v>12</v>
      </c>
      <c r="N95" s="67">
        <v>1</v>
      </c>
      <c r="O95" s="67">
        <v>0</v>
      </c>
      <c r="P95" s="67">
        <v>3</v>
      </c>
      <c r="Q95" s="67">
        <v>1</v>
      </c>
      <c r="R95" s="69">
        <v>22</v>
      </c>
    </row>
    <row r="96" spans="1:18" x14ac:dyDescent="0.25">
      <c r="A96" s="65">
        <v>42201</v>
      </c>
      <c r="B96" s="65"/>
      <c r="C96" s="66" t="s">
        <v>140</v>
      </c>
      <c r="D96" s="67">
        <v>4</v>
      </c>
      <c r="E96" s="67">
        <v>14</v>
      </c>
      <c r="F96" s="68">
        <f t="shared" si="24"/>
        <v>0.2857142857142857</v>
      </c>
      <c r="G96" s="67">
        <v>1</v>
      </c>
      <c r="H96" s="67">
        <v>5</v>
      </c>
      <c r="I96" s="68">
        <f t="shared" si="25"/>
        <v>0.2</v>
      </c>
      <c r="J96" s="67">
        <v>1</v>
      </c>
      <c r="K96" s="67">
        <v>1</v>
      </c>
      <c r="L96" s="68">
        <f t="shared" si="26"/>
        <v>1</v>
      </c>
      <c r="M96" s="67">
        <v>3</v>
      </c>
      <c r="N96" s="67">
        <v>1</v>
      </c>
      <c r="O96" s="67">
        <v>2</v>
      </c>
      <c r="P96" s="67">
        <v>2</v>
      </c>
      <c r="Q96" s="67">
        <v>0</v>
      </c>
      <c r="R96" s="69">
        <v>10</v>
      </c>
    </row>
    <row r="97" spans="1:18" x14ac:dyDescent="0.25">
      <c r="A97" s="65">
        <v>42201</v>
      </c>
      <c r="B97" s="65"/>
      <c r="C97" s="66" t="s">
        <v>48</v>
      </c>
      <c r="D97" s="67">
        <v>1</v>
      </c>
      <c r="E97" s="67">
        <v>5</v>
      </c>
      <c r="F97" s="68">
        <f t="shared" si="24"/>
        <v>0.2</v>
      </c>
      <c r="G97" s="67">
        <v>0</v>
      </c>
      <c r="H97" s="67">
        <v>1</v>
      </c>
      <c r="I97" s="68">
        <f t="shared" si="25"/>
        <v>0</v>
      </c>
      <c r="J97" s="67">
        <v>0</v>
      </c>
      <c r="K97" s="67">
        <v>0</v>
      </c>
      <c r="L97" s="68">
        <f t="shared" si="26"/>
        <v>0</v>
      </c>
      <c r="M97" s="67">
        <v>0</v>
      </c>
      <c r="N97" s="67">
        <v>0</v>
      </c>
      <c r="O97" s="67">
        <v>0</v>
      </c>
      <c r="P97" s="67">
        <v>1</v>
      </c>
      <c r="Q97" s="67">
        <v>0</v>
      </c>
      <c r="R97" s="69">
        <v>2</v>
      </c>
    </row>
    <row r="98" spans="1:18" x14ac:dyDescent="0.25">
      <c r="A98" s="65">
        <v>42201</v>
      </c>
      <c r="B98" s="65"/>
      <c r="C98" s="66" t="s">
        <v>123</v>
      </c>
      <c r="D98" s="67">
        <v>1</v>
      </c>
      <c r="E98" s="67">
        <v>4</v>
      </c>
      <c r="F98" s="68">
        <f t="shared" si="24"/>
        <v>0.25</v>
      </c>
      <c r="G98" s="67">
        <v>0</v>
      </c>
      <c r="H98" s="67">
        <v>3</v>
      </c>
      <c r="I98" s="68">
        <f t="shared" si="25"/>
        <v>0</v>
      </c>
      <c r="J98" s="67">
        <v>1</v>
      </c>
      <c r="K98" s="67">
        <v>1</v>
      </c>
      <c r="L98" s="68">
        <f t="shared" si="26"/>
        <v>1</v>
      </c>
      <c r="M98" s="67">
        <v>0</v>
      </c>
      <c r="N98" s="67">
        <v>0</v>
      </c>
      <c r="O98" s="67">
        <v>2</v>
      </c>
      <c r="P98" s="67">
        <v>0</v>
      </c>
      <c r="Q98" s="67">
        <v>1</v>
      </c>
      <c r="R98" s="69">
        <v>3</v>
      </c>
    </row>
    <row r="99" spans="1:18" x14ac:dyDescent="0.25">
      <c r="A99" s="65">
        <v>42201</v>
      </c>
      <c r="B99" s="65"/>
      <c r="C99" s="66" t="s">
        <v>144</v>
      </c>
      <c r="D99" s="67">
        <v>1</v>
      </c>
      <c r="E99" s="67">
        <v>4</v>
      </c>
      <c r="F99" s="68">
        <f t="shared" si="24"/>
        <v>0.25</v>
      </c>
      <c r="G99" s="67">
        <v>0</v>
      </c>
      <c r="H99" s="67">
        <v>0</v>
      </c>
      <c r="I99" s="68">
        <f t="shared" si="25"/>
        <v>0</v>
      </c>
      <c r="J99" s="67">
        <v>3</v>
      </c>
      <c r="K99" s="67">
        <v>4</v>
      </c>
      <c r="L99" s="68">
        <f t="shared" si="26"/>
        <v>0.75</v>
      </c>
      <c r="M99" s="67">
        <v>3</v>
      </c>
      <c r="N99" s="67">
        <v>1</v>
      </c>
      <c r="O99" s="67">
        <v>1</v>
      </c>
      <c r="P99" s="67">
        <v>0</v>
      </c>
      <c r="Q99" s="67">
        <v>1</v>
      </c>
      <c r="R99" s="69">
        <v>5</v>
      </c>
    </row>
    <row r="100" spans="1:18" x14ac:dyDescent="0.25">
      <c r="A100" s="65">
        <v>42201</v>
      </c>
      <c r="B100" s="65"/>
      <c r="C100" s="66" t="s">
        <v>50</v>
      </c>
      <c r="D100" s="67">
        <v>4</v>
      </c>
      <c r="E100" s="67">
        <v>11</v>
      </c>
      <c r="F100" s="68">
        <f t="shared" si="24"/>
        <v>0.36363636363636365</v>
      </c>
      <c r="G100" s="67">
        <v>1</v>
      </c>
      <c r="H100" s="67">
        <v>7</v>
      </c>
      <c r="I100" s="68">
        <f t="shared" si="25"/>
        <v>0.14285714285714285</v>
      </c>
      <c r="J100" s="67">
        <v>2</v>
      </c>
      <c r="K100" s="67">
        <v>4</v>
      </c>
      <c r="L100" s="68">
        <f t="shared" si="26"/>
        <v>0.5</v>
      </c>
      <c r="M100" s="67">
        <v>4</v>
      </c>
      <c r="N100" s="67">
        <v>1</v>
      </c>
      <c r="O100" s="67">
        <v>1</v>
      </c>
      <c r="P100" s="67">
        <v>3</v>
      </c>
      <c r="Q100" s="67">
        <v>3</v>
      </c>
      <c r="R100" s="69">
        <v>11</v>
      </c>
    </row>
    <row r="101" spans="1:18" x14ac:dyDescent="0.25">
      <c r="A101" s="43">
        <v>42203</v>
      </c>
      <c r="B101" s="43"/>
      <c r="C101" s="22" t="s">
        <v>49</v>
      </c>
      <c r="D101" s="23">
        <v>7</v>
      </c>
      <c r="E101" s="23">
        <v>20</v>
      </c>
      <c r="F101" s="38">
        <f t="shared" ref="F101:F109" si="27">IF(E101=0,0,D101/E101)</f>
        <v>0.35</v>
      </c>
      <c r="G101" s="23">
        <v>0</v>
      </c>
      <c r="H101" s="23">
        <v>0</v>
      </c>
      <c r="I101" s="38">
        <f t="shared" ref="I101:I109" si="28">IF(H101=0,0,G101/H101)</f>
        <v>0</v>
      </c>
      <c r="J101" s="23">
        <v>4</v>
      </c>
      <c r="K101" s="23">
        <v>5</v>
      </c>
      <c r="L101" s="38">
        <f t="shared" ref="L101:L109" si="29">IF(K101=0,0,J101/K101)</f>
        <v>0.8</v>
      </c>
      <c r="M101" s="23">
        <v>14</v>
      </c>
      <c r="N101" s="23">
        <v>2</v>
      </c>
      <c r="O101" s="23">
        <v>2</v>
      </c>
      <c r="P101" s="23">
        <v>2</v>
      </c>
      <c r="Q101" s="23">
        <v>0</v>
      </c>
      <c r="R101" s="25">
        <v>18</v>
      </c>
    </row>
    <row r="102" spans="1:18" x14ac:dyDescent="0.25">
      <c r="A102" s="43">
        <v>42203</v>
      </c>
      <c r="B102" s="43"/>
      <c r="C102" s="22" t="s">
        <v>140</v>
      </c>
      <c r="D102" s="23">
        <v>5</v>
      </c>
      <c r="E102" s="23">
        <v>14</v>
      </c>
      <c r="F102" s="38">
        <f t="shared" si="27"/>
        <v>0.35714285714285715</v>
      </c>
      <c r="G102" s="23">
        <v>2</v>
      </c>
      <c r="H102" s="23">
        <v>4</v>
      </c>
      <c r="I102" s="38">
        <f t="shared" si="28"/>
        <v>0.5</v>
      </c>
      <c r="J102" s="23">
        <v>5</v>
      </c>
      <c r="K102" s="23">
        <v>5</v>
      </c>
      <c r="L102" s="38">
        <f t="shared" si="29"/>
        <v>1</v>
      </c>
      <c r="M102" s="23">
        <v>3</v>
      </c>
      <c r="N102" s="23">
        <v>4</v>
      </c>
      <c r="O102" s="23">
        <v>1</v>
      </c>
      <c r="P102" s="23">
        <v>2</v>
      </c>
      <c r="Q102" s="23">
        <v>0</v>
      </c>
      <c r="R102" s="25">
        <v>17</v>
      </c>
    </row>
    <row r="103" spans="1:18" x14ac:dyDescent="0.25">
      <c r="A103" s="21">
        <v>42203</v>
      </c>
      <c r="B103" s="20"/>
      <c r="C103" s="15" t="s">
        <v>48</v>
      </c>
      <c r="D103" s="16">
        <v>4</v>
      </c>
      <c r="E103" s="16">
        <v>6</v>
      </c>
      <c r="F103" s="62">
        <f t="shared" si="27"/>
        <v>0.66666666666666663</v>
      </c>
      <c r="G103" s="16">
        <v>0</v>
      </c>
      <c r="H103" s="16">
        <v>0</v>
      </c>
      <c r="I103" s="62">
        <f t="shared" si="28"/>
        <v>0</v>
      </c>
      <c r="J103" s="16">
        <v>0</v>
      </c>
      <c r="K103" s="16">
        <v>0</v>
      </c>
      <c r="L103" s="62">
        <f t="shared" si="29"/>
        <v>0</v>
      </c>
      <c r="M103" s="16">
        <v>2</v>
      </c>
      <c r="N103" s="16">
        <v>0</v>
      </c>
      <c r="O103" s="16">
        <v>0</v>
      </c>
      <c r="P103" s="16">
        <v>1</v>
      </c>
      <c r="Q103" s="16">
        <v>0</v>
      </c>
      <c r="R103" s="16">
        <v>8</v>
      </c>
    </row>
    <row r="104" spans="1:18" x14ac:dyDescent="0.25">
      <c r="A104" s="21">
        <v>42203</v>
      </c>
      <c r="B104" s="20"/>
      <c r="C104" s="15" t="s">
        <v>123</v>
      </c>
      <c r="D104" s="16">
        <v>3</v>
      </c>
      <c r="E104" s="16">
        <v>10</v>
      </c>
      <c r="F104" s="62">
        <f t="shared" si="27"/>
        <v>0.3</v>
      </c>
      <c r="G104" s="16">
        <v>2</v>
      </c>
      <c r="H104" s="16">
        <v>5</v>
      </c>
      <c r="I104" s="62">
        <f t="shared" si="28"/>
        <v>0.4</v>
      </c>
      <c r="J104" s="16">
        <v>2</v>
      </c>
      <c r="K104" s="16">
        <v>2</v>
      </c>
      <c r="L104" s="62">
        <f t="shared" si="29"/>
        <v>1</v>
      </c>
      <c r="M104" s="16">
        <v>1</v>
      </c>
      <c r="N104" s="16">
        <v>0</v>
      </c>
      <c r="O104" s="16">
        <v>0</v>
      </c>
      <c r="P104" s="16">
        <v>1</v>
      </c>
      <c r="Q104" s="16">
        <v>0</v>
      </c>
      <c r="R104" s="16">
        <v>10</v>
      </c>
    </row>
    <row r="105" spans="1:18" x14ac:dyDescent="0.25">
      <c r="A105" s="21">
        <v>42203</v>
      </c>
      <c r="B105" s="20"/>
      <c r="C105" s="15" t="s">
        <v>144</v>
      </c>
      <c r="D105" s="16">
        <v>0</v>
      </c>
      <c r="E105" s="16">
        <v>4</v>
      </c>
      <c r="F105" s="62">
        <f t="shared" si="27"/>
        <v>0</v>
      </c>
      <c r="G105" s="16">
        <v>0</v>
      </c>
      <c r="H105" s="16">
        <v>0</v>
      </c>
      <c r="I105" s="62">
        <f t="shared" si="28"/>
        <v>0</v>
      </c>
      <c r="J105" s="16">
        <v>4</v>
      </c>
      <c r="K105" s="16">
        <v>4</v>
      </c>
      <c r="L105" s="62">
        <f t="shared" si="29"/>
        <v>1</v>
      </c>
      <c r="M105" s="16">
        <v>4</v>
      </c>
      <c r="N105" s="16">
        <v>1</v>
      </c>
      <c r="O105" s="16">
        <v>0</v>
      </c>
      <c r="P105" s="16">
        <v>0</v>
      </c>
      <c r="Q105" s="16">
        <v>2</v>
      </c>
      <c r="R105" s="16">
        <v>4</v>
      </c>
    </row>
    <row r="106" spans="1:18" x14ac:dyDescent="0.25">
      <c r="A106" s="43">
        <v>42203</v>
      </c>
      <c r="B106" s="43"/>
      <c r="C106" s="22" t="s">
        <v>50</v>
      </c>
      <c r="D106" s="23">
        <v>3</v>
      </c>
      <c r="E106" s="23">
        <v>6</v>
      </c>
      <c r="F106" s="38">
        <f t="shared" si="27"/>
        <v>0.5</v>
      </c>
      <c r="G106" s="23">
        <v>0</v>
      </c>
      <c r="H106" s="23">
        <v>3</v>
      </c>
      <c r="I106" s="38">
        <f t="shared" si="28"/>
        <v>0</v>
      </c>
      <c r="J106" s="23">
        <v>6</v>
      </c>
      <c r="K106" s="23">
        <v>8</v>
      </c>
      <c r="L106" s="38">
        <f t="shared" si="29"/>
        <v>0.75</v>
      </c>
      <c r="M106" s="23">
        <v>2</v>
      </c>
      <c r="N106" s="23">
        <v>2</v>
      </c>
      <c r="O106" s="23">
        <v>2</v>
      </c>
      <c r="P106" s="23">
        <v>2</v>
      </c>
      <c r="Q106" s="23">
        <v>0</v>
      </c>
      <c r="R106" s="25">
        <v>12</v>
      </c>
    </row>
    <row r="107" spans="1:18" x14ac:dyDescent="0.25">
      <c r="A107" s="43">
        <v>42204</v>
      </c>
      <c r="B107" s="43"/>
      <c r="C107" s="22" t="s">
        <v>149</v>
      </c>
      <c r="D107" s="23">
        <v>1</v>
      </c>
      <c r="E107" s="23">
        <v>1</v>
      </c>
      <c r="F107" s="38">
        <f t="shared" si="27"/>
        <v>1</v>
      </c>
      <c r="G107" s="23">
        <v>0</v>
      </c>
      <c r="H107" s="23">
        <v>0</v>
      </c>
      <c r="I107" s="38">
        <f t="shared" si="28"/>
        <v>0</v>
      </c>
      <c r="J107" s="23">
        <v>0</v>
      </c>
      <c r="K107" s="23">
        <v>0</v>
      </c>
      <c r="L107" s="38">
        <f t="shared" si="29"/>
        <v>0</v>
      </c>
      <c r="M107" s="23">
        <v>0</v>
      </c>
      <c r="N107" s="23">
        <v>1</v>
      </c>
      <c r="O107" s="23">
        <v>0</v>
      </c>
      <c r="P107" s="23">
        <v>2</v>
      </c>
      <c r="Q107" s="23">
        <v>0</v>
      </c>
      <c r="R107" s="25">
        <v>2</v>
      </c>
    </row>
    <row r="108" spans="1:18" x14ac:dyDescent="0.25">
      <c r="A108" s="43">
        <v>42204</v>
      </c>
      <c r="B108" s="43"/>
      <c r="C108" s="22" t="s">
        <v>46</v>
      </c>
      <c r="D108" s="23">
        <v>1</v>
      </c>
      <c r="E108" s="23">
        <v>6</v>
      </c>
      <c r="F108" s="38">
        <f t="shared" si="27"/>
        <v>0.16666666666666666</v>
      </c>
      <c r="G108" s="23">
        <v>0</v>
      </c>
      <c r="H108" s="23">
        <v>0</v>
      </c>
      <c r="I108" s="38">
        <f t="shared" si="28"/>
        <v>0</v>
      </c>
      <c r="J108" s="23">
        <v>0</v>
      </c>
      <c r="K108" s="23">
        <v>0</v>
      </c>
      <c r="L108" s="38">
        <f t="shared" si="29"/>
        <v>0</v>
      </c>
      <c r="M108" s="23">
        <v>8</v>
      </c>
      <c r="N108" s="23">
        <v>2</v>
      </c>
      <c r="O108" s="23">
        <v>0</v>
      </c>
      <c r="P108" s="23">
        <v>2</v>
      </c>
      <c r="Q108" s="23">
        <v>0</v>
      </c>
      <c r="R108" s="25">
        <v>2</v>
      </c>
    </row>
    <row r="109" spans="1:18" x14ac:dyDescent="0.25">
      <c r="A109" s="43">
        <v>42204</v>
      </c>
      <c r="B109" s="43"/>
      <c r="C109" s="22" t="s">
        <v>47</v>
      </c>
      <c r="D109" s="23">
        <v>2</v>
      </c>
      <c r="E109" s="23">
        <v>7</v>
      </c>
      <c r="F109" s="38">
        <f t="shared" si="27"/>
        <v>0.2857142857142857</v>
      </c>
      <c r="G109" s="23">
        <v>0</v>
      </c>
      <c r="H109" s="23">
        <v>1</v>
      </c>
      <c r="I109" s="38">
        <f t="shared" si="28"/>
        <v>0</v>
      </c>
      <c r="J109" s="23">
        <v>3</v>
      </c>
      <c r="K109" s="23">
        <v>3</v>
      </c>
      <c r="L109" s="38">
        <f t="shared" si="29"/>
        <v>1</v>
      </c>
      <c r="M109" s="23">
        <v>4</v>
      </c>
      <c r="N109" s="23">
        <v>5</v>
      </c>
      <c r="O109" s="23">
        <v>0</v>
      </c>
      <c r="P109" s="23">
        <v>0</v>
      </c>
      <c r="Q109" s="23">
        <v>1</v>
      </c>
      <c r="R109" s="25">
        <v>7</v>
      </c>
    </row>
    <row r="110" spans="1:18" x14ac:dyDescent="0.25">
      <c r="A110" s="43">
        <v>42206</v>
      </c>
      <c r="B110" s="43"/>
      <c r="C110" s="22" t="s">
        <v>50</v>
      </c>
      <c r="D110" s="23">
        <v>7</v>
      </c>
      <c r="E110" s="23">
        <v>10</v>
      </c>
      <c r="F110" s="38">
        <f t="shared" ref="F110:F133" si="30">IF(E110=0,0,D110/E110)</f>
        <v>0.7</v>
      </c>
      <c r="G110" s="23">
        <v>2</v>
      </c>
      <c r="H110" s="23">
        <v>3</v>
      </c>
      <c r="I110" s="38">
        <f t="shared" ref="I110:I133" si="31">IF(H110=0,0,G110/H110)</f>
        <v>0.66666666666666663</v>
      </c>
      <c r="J110" s="23">
        <v>3</v>
      </c>
      <c r="K110" s="23">
        <v>5</v>
      </c>
      <c r="L110" s="38">
        <f t="shared" ref="L110:L133" si="32">IF(K110=0,0,J110/K110)</f>
        <v>0.6</v>
      </c>
      <c r="M110" s="23">
        <v>2</v>
      </c>
      <c r="N110" s="23">
        <v>1</v>
      </c>
      <c r="O110" s="23">
        <v>0</v>
      </c>
      <c r="P110" s="23">
        <v>2</v>
      </c>
      <c r="Q110" s="23">
        <v>1</v>
      </c>
      <c r="R110" s="25">
        <v>19</v>
      </c>
    </row>
    <row r="111" spans="1:18" x14ac:dyDescent="0.25">
      <c r="A111" s="43">
        <v>42206</v>
      </c>
      <c r="B111" s="43"/>
      <c r="C111" s="22" t="s">
        <v>65</v>
      </c>
      <c r="D111" s="23">
        <v>6</v>
      </c>
      <c r="E111" s="23">
        <v>9</v>
      </c>
      <c r="F111" s="38">
        <f t="shared" si="30"/>
        <v>0.66666666666666663</v>
      </c>
      <c r="G111" s="23">
        <v>0</v>
      </c>
      <c r="H111" s="23">
        <v>0</v>
      </c>
      <c r="I111" s="38">
        <f t="shared" si="31"/>
        <v>0</v>
      </c>
      <c r="J111" s="23">
        <v>0</v>
      </c>
      <c r="K111" s="23">
        <v>0</v>
      </c>
      <c r="L111" s="38">
        <f t="shared" si="32"/>
        <v>0</v>
      </c>
      <c r="M111" s="23">
        <v>4</v>
      </c>
      <c r="N111" s="23">
        <v>2</v>
      </c>
      <c r="O111" s="23">
        <v>1</v>
      </c>
      <c r="P111" s="23">
        <v>0</v>
      </c>
      <c r="Q111" s="23">
        <v>2</v>
      </c>
      <c r="R111" s="25">
        <v>12</v>
      </c>
    </row>
    <row r="112" spans="1:18" x14ac:dyDescent="0.25">
      <c r="A112" s="43">
        <v>42206</v>
      </c>
      <c r="B112" s="43"/>
      <c r="C112" s="22" t="s">
        <v>49</v>
      </c>
      <c r="D112" s="23">
        <v>14</v>
      </c>
      <c r="E112" s="23">
        <v>24</v>
      </c>
      <c r="F112" s="38">
        <f t="shared" si="30"/>
        <v>0.58333333333333337</v>
      </c>
      <c r="G112" s="23">
        <v>0</v>
      </c>
      <c r="H112" s="23">
        <v>0</v>
      </c>
      <c r="I112" s="38">
        <f t="shared" si="31"/>
        <v>0</v>
      </c>
      <c r="J112" s="23">
        <v>2</v>
      </c>
      <c r="K112" s="23">
        <v>3</v>
      </c>
      <c r="L112" s="38">
        <f t="shared" si="32"/>
        <v>0.66666666666666663</v>
      </c>
      <c r="M112" s="23">
        <v>5</v>
      </c>
      <c r="N112" s="23">
        <v>2</v>
      </c>
      <c r="O112" s="23">
        <v>2</v>
      </c>
      <c r="P112" s="23">
        <v>0</v>
      </c>
      <c r="Q112" s="23">
        <v>0</v>
      </c>
      <c r="R112" s="25">
        <v>30</v>
      </c>
    </row>
    <row r="113" spans="1:18" x14ac:dyDescent="0.25">
      <c r="A113" s="43">
        <v>42206</v>
      </c>
      <c r="B113" s="43"/>
      <c r="C113" s="22" t="s">
        <v>140</v>
      </c>
      <c r="D113" s="23">
        <v>4</v>
      </c>
      <c r="E113" s="23">
        <v>10</v>
      </c>
      <c r="F113" s="38">
        <f t="shared" si="30"/>
        <v>0.4</v>
      </c>
      <c r="G113" s="23">
        <v>1</v>
      </c>
      <c r="H113" s="23">
        <v>4</v>
      </c>
      <c r="I113" s="38">
        <f t="shared" si="31"/>
        <v>0.25</v>
      </c>
      <c r="J113" s="23">
        <v>1</v>
      </c>
      <c r="K113" s="23">
        <v>1</v>
      </c>
      <c r="L113" s="38">
        <f t="shared" si="32"/>
        <v>1</v>
      </c>
      <c r="M113" s="23">
        <v>0</v>
      </c>
      <c r="N113" s="23">
        <v>4</v>
      </c>
      <c r="O113" s="23">
        <v>2</v>
      </c>
      <c r="P113" s="23">
        <v>3</v>
      </c>
      <c r="Q113" s="23">
        <v>0</v>
      </c>
      <c r="R113" s="25">
        <v>10</v>
      </c>
    </row>
    <row r="114" spans="1:18" x14ac:dyDescent="0.25">
      <c r="A114" s="43">
        <v>42206</v>
      </c>
      <c r="B114" s="43"/>
      <c r="C114" s="22" t="s">
        <v>48</v>
      </c>
      <c r="D114" s="23">
        <v>3</v>
      </c>
      <c r="E114" s="23">
        <v>6</v>
      </c>
      <c r="F114" s="38">
        <f t="shared" si="30"/>
        <v>0.5</v>
      </c>
      <c r="G114" s="23">
        <v>0</v>
      </c>
      <c r="H114" s="23">
        <v>0</v>
      </c>
      <c r="I114" s="38">
        <f t="shared" si="31"/>
        <v>0</v>
      </c>
      <c r="J114" s="23">
        <v>0</v>
      </c>
      <c r="K114" s="23">
        <v>0</v>
      </c>
      <c r="L114" s="38">
        <f t="shared" si="32"/>
        <v>0</v>
      </c>
      <c r="M114" s="23">
        <v>3</v>
      </c>
      <c r="N114" s="23">
        <v>3</v>
      </c>
      <c r="O114" s="23">
        <v>3</v>
      </c>
      <c r="P114" s="23">
        <v>0</v>
      </c>
      <c r="Q114" s="23">
        <v>0</v>
      </c>
      <c r="R114" s="25">
        <v>6</v>
      </c>
    </row>
    <row r="115" spans="1:18" x14ac:dyDescent="0.25">
      <c r="A115" s="43">
        <v>42206</v>
      </c>
      <c r="B115" s="43"/>
      <c r="C115" s="22" t="s">
        <v>123</v>
      </c>
      <c r="D115" s="23">
        <v>3</v>
      </c>
      <c r="E115" s="23">
        <v>9</v>
      </c>
      <c r="F115" s="38">
        <f t="shared" si="30"/>
        <v>0.33333333333333331</v>
      </c>
      <c r="G115" s="23">
        <v>1</v>
      </c>
      <c r="H115" s="23">
        <v>5</v>
      </c>
      <c r="I115" s="38">
        <f t="shared" si="31"/>
        <v>0.2</v>
      </c>
      <c r="J115" s="23">
        <v>1</v>
      </c>
      <c r="K115" s="23">
        <v>2</v>
      </c>
      <c r="L115" s="38">
        <f t="shared" si="32"/>
        <v>0.5</v>
      </c>
      <c r="M115" s="23">
        <v>4</v>
      </c>
      <c r="N115" s="23">
        <v>1</v>
      </c>
      <c r="O115" s="23">
        <v>0</v>
      </c>
      <c r="P115" s="23">
        <v>1</v>
      </c>
      <c r="Q115" s="23">
        <v>0</v>
      </c>
      <c r="R115" s="25">
        <v>8</v>
      </c>
    </row>
    <row r="116" spans="1:18" x14ac:dyDescent="0.25">
      <c r="A116" s="72">
        <v>42207</v>
      </c>
      <c r="B116" s="43"/>
      <c r="C116" s="22" t="s">
        <v>49</v>
      </c>
      <c r="D116" s="23">
        <v>4</v>
      </c>
      <c r="E116" s="23">
        <v>11</v>
      </c>
      <c r="F116" s="38">
        <f t="shared" si="30"/>
        <v>0.36363636363636365</v>
      </c>
      <c r="G116" s="23">
        <v>0</v>
      </c>
      <c r="H116" s="23">
        <v>0</v>
      </c>
      <c r="I116" s="38">
        <f t="shared" si="31"/>
        <v>0</v>
      </c>
      <c r="J116" s="23">
        <v>6</v>
      </c>
      <c r="K116" s="23">
        <v>8</v>
      </c>
      <c r="L116" s="38">
        <f t="shared" si="32"/>
        <v>0.75</v>
      </c>
      <c r="M116" s="23">
        <v>14</v>
      </c>
      <c r="N116" s="23">
        <v>1</v>
      </c>
      <c r="O116" s="23">
        <v>0</v>
      </c>
      <c r="P116" s="23">
        <v>1</v>
      </c>
      <c r="Q116" s="23">
        <v>0</v>
      </c>
      <c r="R116" s="25">
        <v>14</v>
      </c>
    </row>
    <row r="117" spans="1:18" x14ac:dyDescent="0.25">
      <c r="A117" s="72">
        <v>42207</v>
      </c>
      <c r="B117" s="43"/>
      <c r="C117" s="22" t="s">
        <v>140</v>
      </c>
      <c r="D117" s="23">
        <v>3</v>
      </c>
      <c r="E117" s="23">
        <v>13</v>
      </c>
      <c r="F117" s="38">
        <f t="shared" si="30"/>
        <v>0.23076923076923078</v>
      </c>
      <c r="G117" s="23">
        <v>0</v>
      </c>
      <c r="H117" s="23">
        <v>1</v>
      </c>
      <c r="I117" s="38">
        <f t="shared" si="31"/>
        <v>0</v>
      </c>
      <c r="J117" s="23">
        <v>7</v>
      </c>
      <c r="K117" s="23">
        <v>7</v>
      </c>
      <c r="L117" s="38">
        <f t="shared" si="32"/>
        <v>1</v>
      </c>
      <c r="M117" s="23">
        <v>7</v>
      </c>
      <c r="N117" s="23">
        <v>0</v>
      </c>
      <c r="O117" s="23">
        <v>2</v>
      </c>
      <c r="P117" s="23">
        <v>4</v>
      </c>
      <c r="Q117" s="23">
        <v>0</v>
      </c>
      <c r="R117" s="25">
        <v>13</v>
      </c>
    </row>
    <row r="118" spans="1:18" x14ac:dyDescent="0.25">
      <c r="A118" s="72">
        <v>42207</v>
      </c>
      <c r="B118" s="43"/>
      <c r="C118" s="22" t="s">
        <v>48</v>
      </c>
      <c r="D118" s="23">
        <v>3</v>
      </c>
      <c r="E118" s="23">
        <v>8</v>
      </c>
      <c r="F118" s="38">
        <f t="shared" si="30"/>
        <v>0.375</v>
      </c>
      <c r="G118" s="23">
        <v>0</v>
      </c>
      <c r="H118" s="23">
        <v>1</v>
      </c>
      <c r="I118" s="38">
        <f t="shared" si="31"/>
        <v>0</v>
      </c>
      <c r="J118" s="23">
        <v>6</v>
      </c>
      <c r="K118" s="23">
        <v>10</v>
      </c>
      <c r="L118" s="38">
        <f t="shared" si="32"/>
        <v>0.6</v>
      </c>
      <c r="M118" s="23">
        <v>7</v>
      </c>
      <c r="N118" s="23">
        <v>1</v>
      </c>
      <c r="O118" s="23">
        <v>1</v>
      </c>
      <c r="P118" s="23">
        <v>2</v>
      </c>
      <c r="Q118" s="23">
        <v>0</v>
      </c>
      <c r="R118" s="25">
        <v>12</v>
      </c>
    </row>
    <row r="119" spans="1:18" x14ac:dyDescent="0.25">
      <c r="A119" s="72">
        <v>42207</v>
      </c>
      <c r="B119" s="43"/>
      <c r="C119" s="22" t="s">
        <v>123</v>
      </c>
      <c r="D119" s="23">
        <v>2</v>
      </c>
      <c r="E119" s="23">
        <v>6</v>
      </c>
      <c r="F119" s="38">
        <f t="shared" si="30"/>
        <v>0.33333333333333331</v>
      </c>
      <c r="G119" s="23">
        <v>0</v>
      </c>
      <c r="H119" s="23">
        <v>1</v>
      </c>
      <c r="I119" s="38">
        <f t="shared" si="31"/>
        <v>0</v>
      </c>
      <c r="J119" s="23">
        <v>1</v>
      </c>
      <c r="K119" s="23">
        <v>1</v>
      </c>
      <c r="L119" s="38">
        <f t="shared" si="32"/>
        <v>1</v>
      </c>
      <c r="M119" s="23">
        <v>2</v>
      </c>
      <c r="N119" s="23">
        <v>2</v>
      </c>
      <c r="O119" s="23">
        <v>0</v>
      </c>
      <c r="P119" s="23">
        <v>1</v>
      </c>
      <c r="Q119" s="23">
        <v>0</v>
      </c>
      <c r="R119" s="25">
        <v>5</v>
      </c>
    </row>
    <row r="120" spans="1:18" x14ac:dyDescent="0.25">
      <c r="A120" s="71">
        <v>42207</v>
      </c>
      <c r="B120" s="20"/>
      <c r="C120" s="15" t="s">
        <v>46</v>
      </c>
      <c r="D120" s="16">
        <v>3</v>
      </c>
      <c r="E120" s="16">
        <v>6</v>
      </c>
      <c r="F120" s="70">
        <f t="shared" si="30"/>
        <v>0.5</v>
      </c>
      <c r="G120" s="16">
        <v>0</v>
      </c>
      <c r="H120" s="16">
        <v>0</v>
      </c>
      <c r="I120" s="70">
        <f t="shared" si="31"/>
        <v>0</v>
      </c>
      <c r="J120" s="16">
        <v>1</v>
      </c>
      <c r="K120" s="16">
        <v>2</v>
      </c>
      <c r="L120" s="70">
        <f t="shared" si="32"/>
        <v>0.5</v>
      </c>
      <c r="M120" s="16">
        <v>4</v>
      </c>
      <c r="N120" s="16">
        <v>1</v>
      </c>
      <c r="O120" s="16">
        <v>2</v>
      </c>
      <c r="P120" s="16">
        <v>4</v>
      </c>
      <c r="Q120" s="16">
        <v>0</v>
      </c>
      <c r="R120" s="16">
        <v>7</v>
      </c>
    </row>
    <row r="121" spans="1:18" x14ac:dyDescent="0.25">
      <c r="A121" s="71">
        <v>42207</v>
      </c>
      <c r="B121" s="20"/>
      <c r="C121" s="15" t="s">
        <v>47</v>
      </c>
      <c r="D121" s="16">
        <v>2</v>
      </c>
      <c r="E121" s="16">
        <v>6</v>
      </c>
      <c r="F121" s="70">
        <f t="shared" si="30"/>
        <v>0.33333333333333331</v>
      </c>
      <c r="G121" s="16">
        <v>0</v>
      </c>
      <c r="H121" s="16">
        <v>2</v>
      </c>
      <c r="I121" s="70">
        <f t="shared" si="31"/>
        <v>0</v>
      </c>
      <c r="J121" s="16">
        <v>2</v>
      </c>
      <c r="K121" s="16">
        <v>2</v>
      </c>
      <c r="L121" s="70">
        <f t="shared" si="32"/>
        <v>1</v>
      </c>
      <c r="M121" s="16">
        <v>1</v>
      </c>
      <c r="N121" s="16">
        <v>3</v>
      </c>
      <c r="O121" s="16">
        <v>0</v>
      </c>
      <c r="P121" s="16">
        <v>1</v>
      </c>
      <c r="Q121" s="16">
        <v>1</v>
      </c>
      <c r="R121" s="16">
        <v>6</v>
      </c>
    </row>
    <row r="122" spans="1:18" x14ac:dyDescent="0.25">
      <c r="A122" s="73">
        <v>42213</v>
      </c>
      <c r="B122" s="20"/>
      <c r="C122" s="15" t="s">
        <v>46</v>
      </c>
      <c r="D122" s="16">
        <v>4</v>
      </c>
      <c r="E122" s="16">
        <v>6</v>
      </c>
      <c r="F122" s="70">
        <f t="shared" si="30"/>
        <v>0.66666666666666663</v>
      </c>
      <c r="G122" s="16">
        <v>0</v>
      </c>
      <c r="H122" s="16">
        <v>0</v>
      </c>
      <c r="I122" s="70">
        <f t="shared" si="31"/>
        <v>0</v>
      </c>
      <c r="J122" s="16">
        <v>2</v>
      </c>
      <c r="K122" s="16">
        <v>2</v>
      </c>
      <c r="L122" s="70">
        <f t="shared" si="32"/>
        <v>1</v>
      </c>
      <c r="M122" s="16">
        <v>4</v>
      </c>
      <c r="N122" s="16">
        <v>2</v>
      </c>
      <c r="O122" s="16">
        <v>4</v>
      </c>
      <c r="P122" s="16">
        <v>3</v>
      </c>
      <c r="Q122" s="16">
        <v>0</v>
      </c>
      <c r="R122" s="16">
        <v>10</v>
      </c>
    </row>
    <row r="123" spans="1:18" x14ac:dyDescent="0.25">
      <c r="A123" s="73">
        <v>42213</v>
      </c>
      <c r="B123" s="20"/>
      <c r="C123" s="15" t="s">
        <v>47</v>
      </c>
      <c r="D123" s="16">
        <v>2</v>
      </c>
      <c r="E123" s="16">
        <v>6</v>
      </c>
      <c r="F123" s="70">
        <f t="shared" si="30"/>
        <v>0.33333333333333331</v>
      </c>
      <c r="G123" s="16">
        <v>0</v>
      </c>
      <c r="H123" s="16">
        <v>2</v>
      </c>
      <c r="I123" s="70">
        <f t="shared" si="31"/>
        <v>0</v>
      </c>
      <c r="J123" s="16">
        <v>0</v>
      </c>
      <c r="K123" s="16">
        <v>0</v>
      </c>
      <c r="L123" s="70">
        <f t="shared" si="32"/>
        <v>0</v>
      </c>
      <c r="M123" s="16">
        <v>3</v>
      </c>
      <c r="N123" s="16">
        <v>2</v>
      </c>
      <c r="O123" s="16">
        <v>0</v>
      </c>
      <c r="P123" s="16">
        <v>2</v>
      </c>
      <c r="Q123" s="16">
        <v>0</v>
      </c>
      <c r="R123" s="16">
        <v>4</v>
      </c>
    </row>
    <row r="124" spans="1:18" x14ac:dyDescent="0.25">
      <c r="A124" s="21">
        <v>42214</v>
      </c>
      <c r="B124" s="20"/>
      <c r="C124" s="15" t="s">
        <v>49</v>
      </c>
      <c r="D124" s="16">
        <v>6</v>
      </c>
      <c r="E124" s="16">
        <v>12</v>
      </c>
      <c r="F124" s="70">
        <f t="shared" si="30"/>
        <v>0.5</v>
      </c>
      <c r="G124" s="16">
        <v>0</v>
      </c>
      <c r="H124" s="16">
        <v>0</v>
      </c>
      <c r="I124" s="70">
        <f t="shared" si="31"/>
        <v>0</v>
      </c>
      <c r="J124" s="16">
        <v>6</v>
      </c>
      <c r="K124" s="16">
        <v>8</v>
      </c>
      <c r="L124" s="70">
        <f t="shared" si="32"/>
        <v>0.75</v>
      </c>
      <c r="M124" s="16">
        <v>8</v>
      </c>
      <c r="N124" s="16">
        <v>2</v>
      </c>
      <c r="O124" s="16">
        <v>0</v>
      </c>
      <c r="P124" s="16">
        <v>3</v>
      </c>
      <c r="Q124" s="16">
        <v>2</v>
      </c>
      <c r="R124" s="16">
        <v>18</v>
      </c>
    </row>
    <row r="125" spans="1:18" x14ac:dyDescent="0.25">
      <c r="A125" s="21">
        <v>42214</v>
      </c>
      <c r="B125" s="20"/>
      <c r="C125" s="15" t="s">
        <v>140</v>
      </c>
      <c r="D125" s="16">
        <v>7</v>
      </c>
      <c r="E125" s="16">
        <v>13</v>
      </c>
      <c r="F125" s="70">
        <f t="shared" si="30"/>
        <v>0.53846153846153844</v>
      </c>
      <c r="G125" s="16">
        <v>1</v>
      </c>
      <c r="H125" s="16">
        <v>5</v>
      </c>
      <c r="I125" s="70">
        <f t="shared" si="31"/>
        <v>0.2</v>
      </c>
      <c r="J125" s="16">
        <v>2</v>
      </c>
      <c r="K125" s="16">
        <v>3</v>
      </c>
      <c r="L125" s="70">
        <f t="shared" si="32"/>
        <v>0.66666666666666663</v>
      </c>
      <c r="M125" s="16">
        <v>3</v>
      </c>
      <c r="N125" s="16">
        <v>4</v>
      </c>
      <c r="O125" s="16">
        <v>3</v>
      </c>
      <c r="P125" s="16">
        <v>4</v>
      </c>
      <c r="Q125" s="16">
        <v>1</v>
      </c>
      <c r="R125" s="16">
        <v>17</v>
      </c>
    </row>
    <row r="126" spans="1:18" x14ac:dyDescent="0.25">
      <c r="A126" s="21">
        <v>42214</v>
      </c>
      <c r="B126" s="20"/>
      <c r="C126" s="15" t="s">
        <v>48</v>
      </c>
      <c r="D126" s="16">
        <v>3</v>
      </c>
      <c r="E126" s="16">
        <v>6</v>
      </c>
      <c r="F126" s="70">
        <f t="shared" si="30"/>
        <v>0.5</v>
      </c>
      <c r="G126" s="16">
        <v>0</v>
      </c>
      <c r="H126" s="16">
        <v>1</v>
      </c>
      <c r="I126" s="70">
        <f t="shared" si="31"/>
        <v>0</v>
      </c>
      <c r="J126" s="16">
        <v>2</v>
      </c>
      <c r="K126" s="16">
        <v>2</v>
      </c>
      <c r="L126" s="70">
        <f t="shared" si="32"/>
        <v>1</v>
      </c>
      <c r="M126" s="16">
        <v>1</v>
      </c>
      <c r="N126" s="16">
        <v>1</v>
      </c>
      <c r="O126" s="16">
        <v>1</v>
      </c>
      <c r="P126" s="16">
        <v>2</v>
      </c>
      <c r="Q126" s="16">
        <v>1</v>
      </c>
      <c r="R126" s="16">
        <v>8</v>
      </c>
    </row>
    <row r="127" spans="1:18" x14ac:dyDescent="0.25">
      <c r="A127" s="21">
        <v>42214</v>
      </c>
      <c r="B127" s="20"/>
      <c r="C127" s="15" t="s">
        <v>123</v>
      </c>
      <c r="D127" s="16">
        <v>2</v>
      </c>
      <c r="E127" s="16">
        <v>5</v>
      </c>
      <c r="F127" s="70">
        <f t="shared" si="30"/>
        <v>0.4</v>
      </c>
      <c r="G127" s="16">
        <v>1</v>
      </c>
      <c r="H127" s="16">
        <v>1</v>
      </c>
      <c r="I127" s="70">
        <f t="shared" si="31"/>
        <v>1</v>
      </c>
      <c r="J127" s="16">
        <v>0</v>
      </c>
      <c r="K127" s="16">
        <v>0</v>
      </c>
      <c r="L127" s="70">
        <f t="shared" si="32"/>
        <v>0</v>
      </c>
      <c r="M127" s="16">
        <v>2</v>
      </c>
      <c r="N127" s="16">
        <v>0</v>
      </c>
      <c r="O127" s="16">
        <v>0</v>
      </c>
      <c r="P127" s="16">
        <v>2</v>
      </c>
      <c r="Q127" s="16">
        <v>1</v>
      </c>
      <c r="R127" s="16">
        <v>5</v>
      </c>
    </row>
    <row r="128" spans="1:18" x14ac:dyDescent="0.25">
      <c r="A128" s="43">
        <v>42214</v>
      </c>
      <c r="B128" s="43"/>
      <c r="C128" s="22" t="s">
        <v>65</v>
      </c>
      <c r="D128" s="23">
        <v>4</v>
      </c>
      <c r="E128" s="23">
        <v>9</v>
      </c>
      <c r="F128" s="38">
        <f t="shared" si="30"/>
        <v>0.44444444444444442</v>
      </c>
      <c r="G128" s="23">
        <v>0</v>
      </c>
      <c r="H128" s="23">
        <v>0</v>
      </c>
      <c r="I128" s="38">
        <f t="shared" si="31"/>
        <v>0</v>
      </c>
      <c r="J128" s="23">
        <v>2</v>
      </c>
      <c r="K128" s="23">
        <v>2</v>
      </c>
      <c r="L128" s="38">
        <f t="shared" si="32"/>
        <v>1</v>
      </c>
      <c r="M128" s="23">
        <v>9</v>
      </c>
      <c r="N128" s="23">
        <v>1</v>
      </c>
      <c r="O128" s="23">
        <v>0</v>
      </c>
      <c r="P128" s="23">
        <v>2</v>
      </c>
      <c r="Q128" s="23">
        <v>1</v>
      </c>
      <c r="R128" s="25">
        <v>10</v>
      </c>
    </row>
    <row r="129" spans="1:18" x14ac:dyDescent="0.25">
      <c r="A129" s="43">
        <v>42214</v>
      </c>
      <c r="B129" s="43"/>
      <c r="C129" s="22" t="s">
        <v>50</v>
      </c>
      <c r="D129" s="23">
        <v>4</v>
      </c>
      <c r="E129" s="23">
        <v>9</v>
      </c>
      <c r="F129" s="38">
        <f t="shared" si="30"/>
        <v>0.44444444444444442</v>
      </c>
      <c r="G129" s="23">
        <v>0</v>
      </c>
      <c r="H129" s="23">
        <v>3</v>
      </c>
      <c r="I129" s="38">
        <f t="shared" si="31"/>
        <v>0</v>
      </c>
      <c r="J129" s="23">
        <v>2</v>
      </c>
      <c r="K129" s="23">
        <v>3</v>
      </c>
      <c r="L129" s="38">
        <f t="shared" si="32"/>
        <v>0.66666666666666663</v>
      </c>
      <c r="M129" s="23">
        <v>2</v>
      </c>
      <c r="N129" s="23">
        <v>1</v>
      </c>
      <c r="O129" s="23">
        <v>2</v>
      </c>
      <c r="P129" s="23">
        <v>0</v>
      </c>
      <c r="Q129" s="23">
        <v>1</v>
      </c>
      <c r="R129" s="25">
        <v>10</v>
      </c>
    </row>
    <row r="130" spans="1:18" x14ac:dyDescent="0.25">
      <c r="A130" s="43">
        <v>42216</v>
      </c>
      <c r="B130" s="43"/>
      <c r="C130" s="22" t="s">
        <v>46</v>
      </c>
      <c r="D130" s="23">
        <v>2</v>
      </c>
      <c r="E130" s="23">
        <v>6</v>
      </c>
      <c r="F130" s="38">
        <f t="shared" si="30"/>
        <v>0.33333333333333331</v>
      </c>
      <c r="G130" s="23">
        <v>0</v>
      </c>
      <c r="H130" s="23">
        <v>0</v>
      </c>
      <c r="I130" s="38">
        <f t="shared" si="31"/>
        <v>0</v>
      </c>
      <c r="J130" s="23">
        <v>5</v>
      </c>
      <c r="K130" s="23">
        <v>6</v>
      </c>
      <c r="L130" s="38">
        <f t="shared" si="32"/>
        <v>0.83333333333333337</v>
      </c>
      <c r="M130" s="23">
        <v>5</v>
      </c>
      <c r="N130" s="23">
        <v>1</v>
      </c>
      <c r="O130" s="23">
        <v>1</v>
      </c>
      <c r="P130" s="23">
        <v>3</v>
      </c>
      <c r="Q130" s="23">
        <v>0</v>
      </c>
      <c r="R130" s="25">
        <v>9</v>
      </c>
    </row>
    <row r="131" spans="1:18" x14ac:dyDescent="0.25">
      <c r="A131" s="43">
        <v>42216</v>
      </c>
      <c r="B131" s="43"/>
      <c r="C131" s="22" t="s">
        <v>47</v>
      </c>
      <c r="D131" s="23">
        <v>2</v>
      </c>
      <c r="E131" s="23">
        <v>5</v>
      </c>
      <c r="F131" s="38">
        <f t="shared" si="30"/>
        <v>0.4</v>
      </c>
      <c r="G131" s="23">
        <v>1</v>
      </c>
      <c r="H131" s="23">
        <v>2</v>
      </c>
      <c r="I131" s="38">
        <f t="shared" si="31"/>
        <v>0.5</v>
      </c>
      <c r="J131" s="23">
        <v>0</v>
      </c>
      <c r="K131" s="23">
        <v>1</v>
      </c>
      <c r="L131" s="38">
        <f t="shared" si="32"/>
        <v>0</v>
      </c>
      <c r="M131" s="23">
        <v>1</v>
      </c>
      <c r="N131" s="23">
        <v>3</v>
      </c>
      <c r="O131" s="23">
        <v>1</v>
      </c>
      <c r="P131" s="23">
        <v>3</v>
      </c>
      <c r="Q131" s="23">
        <v>0</v>
      </c>
      <c r="R131" s="25">
        <v>5</v>
      </c>
    </row>
    <row r="132" spans="1:18" x14ac:dyDescent="0.25">
      <c r="A132" s="43">
        <v>42216</v>
      </c>
      <c r="B132" s="43"/>
      <c r="C132" s="22" t="s">
        <v>50</v>
      </c>
      <c r="D132" s="23">
        <v>5</v>
      </c>
      <c r="E132" s="23">
        <v>16</v>
      </c>
      <c r="F132" s="38">
        <f t="shared" si="30"/>
        <v>0.3125</v>
      </c>
      <c r="G132" s="23">
        <v>0</v>
      </c>
      <c r="H132" s="23">
        <v>4</v>
      </c>
      <c r="I132" s="38">
        <f t="shared" si="31"/>
        <v>0</v>
      </c>
      <c r="J132" s="23">
        <v>5</v>
      </c>
      <c r="K132" s="23">
        <v>5</v>
      </c>
      <c r="L132" s="38">
        <f t="shared" si="32"/>
        <v>1</v>
      </c>
      <c r="M132" s="23">
        <v>5</v>
      </c>
      <c r="N132" s="23">
        <v>3</v>
      </c>
      <c r="O132" s="23">
        <v>1</v>
      </c>
      <c r="P132" s="23">
        <v>3</v>
      </c>
      <c r="Q132" s="23">
        <v>0</v>
      </c>
      <c r="R132" s="25">
        <v>15</v>
      </c>
    </row>
    <row r="133" spans="1:18" x14ac:dyDescent="0.25">
      <c r="A133" s="43">
        <v>42216</v>
      </c>
      <c r="B133" s="43"/>
      <c r="C133" s="22" t="s">
        <v>65</v>
      </c>
      <c r="D133" s="23">
        <v>3</v>
      </c>
      <c r="E133" s="23">
        <v>6</v>
      </c>
      <c r="F133" s="38">
        <f t="shared" si="30"/>
        <v>0.5</v>
      </c>
      <c r="G133" s="23">
        <v>0</v>
      </c>
      <c r="H133" s="23">
        <v>0</v>
      </c>
      <c r="I133" s="38">
        <f t="shared" si="31"/>
        <v>0</v>
      </c>
      <c r="J133" s="23">
        <v>0</v>
      </c>
      <c r="K133" s="23">
        <v>0</v>
      </c>
      <c r="L133" s="38">
        <f t="shared" si="32"/>
        <v>0</v>
      </c>
      <c r="M133" s="23">
        <v>8</v>
      </c>
      <c r="N133" s="23">
        <v>0</v>
      </c>
      <c r="O133" s="23">
        <v>0</v>
      </c>
      <c r="P133" s="23">
        <v>2</v>
      </c>
      <c r="Q133" s="23">
        <v>1</v>
      </c>
      <c r="R133" s="25">
        <v>6</v>
      </c>
    </row>
    <row r="134" spans="1:18" x14ac:dyDescent="0.25">
      <c r="A134" s="77">
        <v>42218</v>
      </c>
      <c r="B134" s="43"/>
      <c r="C134" s="47" t="s">
        <v>49</v>
      </c>
      <c r="D134" s="23">
        <v>11</v>
      </c>
      <c r="E134" s="23">
        <v>18</v>
      </c>
      <c r="F134" s="38">
        <f t="shared" ref="F134:F139" si="33">IF(E134=0,0,D134/E134)</f>
        <v>0.61111111111111116</v>
      </c>
      <c r="G134" s="23">
        <v>0</v>
      </c>
      <c r="H134" s="23">
        <v>0</v>
      </c>
      <c r="I134" s="38">
        <f t="shared" ref="I134:I139" si="34">IF(H134=0,0,G134/H134)</f>
        <v>0</v>
      </c>
      <c r="J134" s="23">
        <v>7</v>
      </c>
      <c r="K134" s="23">
        <v>8</v>
      </c>
      <c r="L134" s="38">
        <f t="shared" ref="L134:L139" si="35">IF(K134=0,0,J134/K134)</f>
        <v>0.875</v>
      </c>
      <c r="M134" s="23">
        <v>8</v>
      </c>
      <c r="N134" s="23">
        <v>3</v>
      </c>
      <c r="O134" s="23">
        <v>0</v>
      </c>
      <c r="P134" s="23">
        <v>3</v>
      </c>
      <c r="Q134" s="23">
        <v>2</v>
      </c>
      <c r="R134" s="25">
        <v>29</v>
      </c>
    </row>
    <row r="135" spans="1:18" x14ac:dyDescent="0.25">
      <c r="A135" s="77">
        <v>42218</v>
      </c>
      <c r="B135" s="43"/>
      <c r="C135" s="47" t="s">
        <v>140</v>
      </c>
      <c r="D135" s="23">
        <v>5</v>
      </c>
      <c r="E135" s="23">
        <v>9</v>
      </c>
      <c r="F135" s="38">
        <f t="shared" si="33"/>
        <v>0.55555555555555558</v>
      </c>
      <c r="G135" s="23">
        <v>1</v>
      </c>
      <c r="H135" s="23">
        <v>2</v>
      </c>
      <c r="I135" s="38">
        <f t="shared" si="34"/>
        <v>0.5</v>
      </c>
      <c r="J135" s="23">
        <v>0</v>
      </c>
      <c r="K135" s="23">
        <v>0</v>
      </c>
      <c r="L135" s="38">
        <f t="shared" si="35"/>
        <v>0</v>
      </c>
      <c r="M135" s="23">
        <v>3</v>
      </c>
      <c r="N135" s="23">
        <v>5</v>
      </c>
      <c r="O135" s="23">
        <v>2</v>
      </c>
      <c r="P135" s="23">
        <v>1</v>
      </c>
      <c r="Q135" s="23">
        <v>1</v>
      </c>
      <c r="R135" s="25">
        <v>11</v>
      </c>
    </row>
    <row r="136" spans="1:18" x14ac:dyDescent="0.25">
      <c r="A136" s="77">
        <v>42218</v>
      </c>
      <c r="B136" s="43"/>
      <c r="C136" s="47" t="s">
        <v>65</v>
      </c>
      <c r="D136" s="23">
        <v>3</v>
      </c>
      <c r="E136" s="23">
        <v>11</v>
      </c>
      <c r="F136" s="38">
        <f t="shared" si="33"/>
        <v>0.27272727272727271</v>
      </c>
      <c r="G136" s="23">
        <v>0</v>
      </c>
      <c r="H136" s="23">
        <v>0</v>
      </c>
      <c r="I136" s="38">
        <f t="shared" si="34"/>
        <v>0</v>
      </c>
      <c r="J136" s="23">
        <v>3</v>
      </c>
      <c r="K136" s="23">
        <v>3</v>
      </c>
      <c r="L136" s="38">
        <f t="shared" si="35"/>
        <v>1</v>
      </c>
      <c r="M136" s="23">
        <v>9</v>
      </c>
      <c r="N136" s="23">
        <v>2</v>
      </c>
      <c r="O136" s="23">
        <v>1</v>
      </c>
      <c r="P136" s="23">
        <v>3</v>
      </c>
      <c r="Q136" s="23">
        <v>1</v>
      </c>
      <c r="R136" s="25">
        <v>9</v>
      </c>
    </row>
    <row r="137" spans="1:18" x14ac:dyDescent="0.25">
      <c r="A137" s="77">
        <v>42218</v>
      </c>
      <c r="B137" s="43"/>
      <c r="C137" s="47" t="s">
        <v>50</v>
      </c>
      <c r="D137" s="23">
        <v>4</v>
      </c>
      <c r="E137" s="23">
        <v>9</v>
      </c>
      <c r="F137" s="38">
        <f t="shared" si="33"/>
        <v>0.44444444444444442</v>
      </c>
      <c r="G137" s="23">
        <v>1</v>
      </c>
      <c r="H137" s="23">
        <v>3</v>
      </c>
      <c r="I137" s="38">
        <f t="shared" si="34"/>
        <v>0.33333333333333331</v>
      </c>
      <c r="J137" s="23">
        <v>4</v>
      </c>
      <c r="K137" s="23">
        <v>4</v>
      </c>
      <c r="L137" s="38">
        <f t="shared" si="35"/>
        <v>1</v>
      </c>
      <c r="M137" s="23">
        <v>3</v>
      </c>
      <c r="N137" s="23">
        <v>1</v>
      </c>
      <c r="O137" s="23">
        <v>1</v>
      </c>
      <c r="P137" s="23">
        <v>1</v>
      </c>
      <c r="Q137" s="23">
        <v>1</v>
      </c>
      <c r="R137" s="25">
        <v>13</v>
      </c>
    </row>
    <row r="138" spans="1:18" x14ac:dyDescent="0.25">
      <c r="A138" s="77">
        <v>42218</v>
      </c>
      <c r="B138" s="43"/>
      <c r="C138" s="47" t="s">
        <v>46</v>
      </c>
      <c r="D138" s="23">
        <v>5</v>
      </c>
      <c r="E138" s="23">
        <v>7</v>
      </c>
      <c r="F138" s="38">
        <f t="shared" si="33"/>
        <v>0.7142857142857143</v>
      </c>
      <c r="G138" s="23">
        <v>0</v>
      </c>
      <c r="H138" s="23">
        <v>0</v>
      </c>
      <c r="I138" s="38">
        <f t="shared" si="34"/>
        <v>0</v>
      </c>
      <c r="J138" s="23">
        <v>8</v>
      </c>
      <c r="K138" s="23">
        <v>10</v>
      </c>
      <c r="L138" s="38">
        <f t="shared" si="35"/>
        <v>0.8</v>
      </c>
      <c r="M138" s="23">
        <v>1</v>
      </c>
      <c r="N138" s="23">
        <v>0</v>
      </c>
      <c r="O138" s="23">
        <v>1</v>
      </c>
      <c r="P138" s="23">
        <v>1</v>
      </c>
      <c r="Q138" s="23">
        <v>0</v>
      </c>
      <c r="R138" s="25">
        <v>18</v>
      </c>
    </row>
    <row r="139" spans="1:18" x14ac:dyDescent="0.25">
      <c r="A139" s="77">
        <v>42218</v>
      </c>
      <c r="B139" s="43"/>
      <c r="C139" s="47" t="s">
        <v>47</v>
      </c>
      <c r="D139" s="23">
        <v>1</v>
      </c>
      <c r="E139" s="23">
        <v>4</v>
      </c>
      <c r="F139" s="38">
        <f t="shared" si="33"/>
        <v>0.25</v>
      </c>
      <c r="G139" s="23">
        <v>0</v>
      </c>
      <c r="H139" s="23">
        <v>2</v>
      </c>
      <c r="I139" s="38">
        <f t="shared" si="34"/>
        <v>0</v>
      </c>
      <c r="J139" s="23">
        <v>3</v>
      </c>
      <c r="K139" s="23">
        <v>4</v>
      </c>
      <c r="L139" s="38">
        <f t="shared" si="35"/>
        <v>0.75</v>
      </c>
      <c r="M139" s="23">
        <v>0</v>
      </c>
      <c r="N139" s="23">
        <v>1</v>
      </c>
      <c r="O139" s="23">
        <v>1</v>
      </c>
      <c r="P139" s="23">
        <v>2</v>
      </c>
      <c r="Q139" s="23">
        <v>0</v>
      </c>
      <c r="R139" s="25">
        <v>5</v>
      </c>
    </row>
    <row r="140" spans="1:18" x14ac:dyDescent="0.25">
      <c r="A140" s="77">
        <v>42220</v>
      </c>
      <c r="B140" s="43"/>
      <c r="C140" s="22" t="s">
        <v>159</v>
      </c>
      <c r="D140" s="23">
        <v>4</v>
      </c>
      <c r="E140" s="23">
        <v>11</v>
      </c>
      <c r="F140" s="38">
        <f t="shared" ref="F140:F152" si="36">IF(E140=0,0,D140/E140)</f>
        <v>0.36363636363636365</v>
      </c>
      <c r="G140" s="23">
        <v>2</v>
      </c>
      <c r="H140" s="23">
        <v>7</v>
      </c>
      <c r="I140" s="38">
        <f t="shared" ref="I140:I152" si="37">IF(H140=0,0,G140/H140)</f>
        <v>0.2857142857142857</v>
      </c>
      <c r="J140" s="23">
        <v>0</v>
      </c>
      <c r="K140" s="23">
        <v>0</v>
      </c>
      <c r="L140" s="38">
        <f t="shared" ref="L140:L152" si="38">IF(K140=0,0,J140/K140)</f>
        <v>0</v>
      </c>
      <c r="M140" s="23">
        <v>2</v>
      </c>
      <c r="N140" s="23">
        <v>1</v>
      </c>
      <c r="O140" s="23">
        <v>2</v>
      </c>
      <c r="P140" s="23">
        <v>2</v>
      </c>
      <c r="Q140" s="23">
        <v>0</v>
      </c>
      <c r="R140" s="25">
        <v>10</v>
      </c>
    </row>
    <row r="141" spans="1:18" x14ac:dyDescent="0.25">
      <c r="A141" s="77">
        <v>42220</v>
      </c>
      <c r="B141" s="43"/>
      <c r="C141" s="22" t="s">
        <v>46</v>
      </c>
      <c r="D141" s="23">
        <v>4</v>
      </c>
      <c r="E141" s="23">
        <v>9</v>
      </c>
      <c r="F141" s="38">
        <f t="shared" si="36"/>
        <v>0.44444444444444442</v>
      </c>
      <c r="G141" s="23">
        <v>0</v>
      </c>
      <c r="H141" s="23">
        <v>0</v>
      </c>
      <c r="I141" s="38">
        <f t="shared" si="37"/>
        <v>0</v>
      </c>
      <c r="J141" s="23">
        <v>2</v>
      </c>
      <c r="K141" s="23">
        <v>3</v>
      </c>
      <c r="L141" s="38">
        <f t="shared" si="38"/>
        <v>0.66666666666666663</v>
      </c>
      <c r="M141" s="23">
        <v>3</v>
      </c>
      <c r="N141" s="23">
        <v>3</v>
      </c>
      <c r="O141" s="23">
        <v>0</v>
      </c>
      <c r="P141" s="23">
        <v>1</v>
      </c>
      <c r="Q141" s="23">
        <v>0</v>
      </c>
      <c r="R141" s="25">
        <v>10</v>
      </c>
    </row>
    <row r="142" spans="1:18" x14ac:dyDescent="0.25">
      <c r="A142" s="77">
        <v>42220</v>
      </c>
      <c r="B142" s="43"/>
      <c r="C142" s="22" t="s">
        <v>31</v>
      </c>
      <c r="D142" s="23">
        <v>1</v>
      </c>
      <c r="E142" s="23">
        <v>3</v>
      </c>
      <c r="F142" s="38">
        <f t="shared" si="36"/>
        <v>0.33333333333333331</v>
      </c>
      <c r="G142" s="23">
        <v>0</v>
      </c>
      <c r="H142" s="23">
        <v>0</v>
      </c>
      <c r="I142" s="38">
        <f t="shared" si="37"/>
        <v>0</v>
      </c>
      <c r="J142" s="23">
        <v>2</v>
      </c>
      <c r="K142" s="23">
        <v>2</v>
      </c>
      <c r="L142" s="38">
        <f t="shared" si="38"/>
        <v>1</v>
      </c>
      <c r="M142" s="23">
        <v>1</v>
      </c>
      <c r="N142" s="23">
        <v>3</v>
      </c>
      <c r="O142" s="23">
        <v>0</v>
      </c>
      <c r="P142" s="23">
        <v>1</v>
      </c>
      <c r="Q142" s="23">
        <v>0</v>
      </c>
      <c r="R142" s="25">
        <v>4</v>
      </c>
    </row>
    <row r="143" spans="1:18" x14ac:dyDescent="0.25">
      <c r="A143" s="77">
        <v>42223</v>
      </c>
      <c r="B143" s="43"/>
      <c r="C143" s="22" t="s">
        <v>50</v>
      </c>
      <c r="D143" s="23">
        <v>4</v>
      </c>
      <c r="E143" s="23">
        <v>8</v>
      </c>
      <c r="F143" s="38">
        <f t="shared" si="36"/>
        <v>0.5</v>
      </c>
      <c r="G143" s="23">
        <v>0</v>
      </c>
      <c r="H143" s="23">
        <v>1</v>
      </c>
      <c r="I143" s="38">
        <f t="shared" si="37"/>
        <v>0</v>
      </c>
      <c r="J143" s="23">
        <v>2</v>
      </c>
      <c r="K143" s="23">
        <v>3</v>
      </c>
      <c r="L143" s="38">
        <f t="shared" si="38"/>
        <v>0.66666666666666663</v>
      </c>
      <c r="M143" s="23">
        <v>0</v>
      </c>
      <c r="N143" s="23">
        <v>1</v>
      </c>
      <c r="O143" s="23">
        <v>1</v>
      </c>
      <c r="P143" s="23">
        <v>2</v>
      </c>
      <c r="Q143" s="23">
        <v>2</v>
      </c>
      <c r="R143" s="25">
        <v>10</v>
      </c>
    </row>
    <row r="144" spans="1:18" x14ac:dyDescent="0.25">
      <c r="A144" s="77">
        <v>42223</v>
      </c>
      <c r="B144" s="43"/>
      <c r="C144" s="22" t="s">
        <v>65</v>
      </c>
      <c r="D144" s="23">
        <v>1</v>
      </c>
      <c r="E144" s="23">
        <v>2</v>
      </c>
      <c r="F144" s="38">
        <f t="shared" si="36"/>
        <v>0.5</v>
      </c>
      <c r="G144" s="23">
        <v>0</v>
      </c>
      <c r="H144" s="23">
        <v>0</v>
      </c>
      <c r="I144" s="38">
        <f t="shared" si="37"/>
        <v>0</v>
      </c>
      <c r="J144" s="23">
        <v>2</v>
      </c>
      <c r="K144" s="23">
        <v>2</v>
      </c>
      <c r="L144" s="38">
        <f t="shared" si="38"/>
        <v>1</v>
      </c>
      <c r="M144" s="23">
        <v>7</v>
      </c>
      <c r="N144" s="23">
        <v>1</v>
      </c>
      <c r="O144" s="23">
        <v>0</v>
      </c>
      <c r="P144" s="23">
        <v>2</v>
      </c>
      <c r="Q144" s="23">
        <v>0</v>
      </c>
      <c r="R144" s="25">
        <v>4</v>
      </c>
    </row>
    <row r="145" spans="1:18" x14ac:dyDescent="0.25">
      <c r="A145" s="77">
        <v>42223</v>
      </c>
      <c r="B145" s="43"/>
      <c r="C145" s="22" t="s">
        <v>49</v>
      </c>
      <c r="D145" s="23">
        <v>7</v>
      </c>
      <c r="E145" s="23">
        <v>18</v>
      </c>
      <c r="F145" s="38">
        <f t="shared" si="36"/>
        <v>0.3888888888888889</v>
      </c>
      <c r="G145" s="23">
        <v>0</v>
      </c>
      <c r="H145" s="23">
        <v>0</v>
      </c>
      <c r="I145" s="38">
        <f t="shared" si="37"/>
        <v>0</v>
      </c>
      <c r="J145" s="23">
        <v>4</v>
      </c>
      <c r="K145" s="23">
        <v>6</v>
      </c>
      <c r="L145" s="38">
        <f t="shared" si="38"/>
        <v>0.66666666666666663</v>
      </c>
      <c r="M145" s="23">
        <v>12</v>
      </c>
      <c r="N145" s="23">
        <v>1</v>
      </c>
      <c r="O145" s="23">
        <v>1</v>
      </c>
      <c r="P145" s="23">
        <v>2</v>
      </c>
      <c r="Q145" s="23">
        <v>1</v>
      </c>
      <c r="R145" s="25">
        <v>18</v>
      </c>
    </row>
    <row r="146" spans="1:18" x14ac:dyDescent="0.25">
      <c r="A146" s="77">
        <v>42223</v>
      </c>
      <c r="B146" s="43"/>
      <c r="C146" s="22" t="s">
        <v>140</v>
      </c>
      <c r="D146" s="23">
        <v>11</v>
      </c>
      <c r="E146" s="23">
        <v>14</v>
      </c>
      <c r="F146" s="38">
        <f t="shared" si="36"/>
        <v>0.7857142857142857</v>
      </c>
      <c r="G146" s="23">
        <v>4</v>
      </c>
      <c r="H146" s="23">
        <v>5</v>
      </c>
      <c r="I146" s="38">
        <f t="shared" si="37"/>
        <v>0.8</v>
      </c>
      <c r="J146" s="23">
        <v>4</v>
      </c>
      <c r="K146" s="23">
        <v>5</v>
      </c>
      <c r="L146" s="38">
        <f t="shared" si="38"/>
        <v>0.8</v>
      </c>
      <c r="M146" s="23">
        <v>1</v>
      </c>
      <c r="N146" s="23">
        <v>5</v>
      </c>
      <c r="O146" s="23">
        <v>1</v>
      </c>
      <c r="P146" s="23">
        <v>3</v>
      </c>
      <c r="Q146" s="23">
        <v>0</v>
      </c>
      <c r="R146" s="25">
        <v>30</v>
      </c>
    </row>
    <row r="147" spans="1:18" x14ac:dyDescent="0.25">
      <c r="A147" s="77">
        <v>42223</v>
      </c>
      <c r="B147" s="43"/>
      <c r="C147" s="22" t="s">
        <v>31</v>
      </c>
      <c r="D147" s="23">
        <v>3</v>
      </c>
      <c r="E147" s="23">
        <v>5</v>
      </c>
      <c r="F147" s="38">
        <f t="shared" si="36"/>
        <v>0.6</v>
      </c>
      <c r="G147" s="23">
        <v>0</v>
      </c>
      <c r="H147" s="23">
        <v>0</v>
      </c>
      <c r="I147" s="38">
        <f t="shared" si="37"/>
        <v>0</v>
      </c>
      <c r="J147" s="23">
        <v>0</v>
      </c>
      <c r="K147" s="23">
        <v>0</v>
      </c>
      <c r="L147" s="38">
        <f t="shared" si="38"/>
        <v>0</v>
      </c>
      <c r="M147" s="23">
        <v>3</v>
      </c>
      <c r="N147" s="23">
        <v>1</v>
      </c>
      <c r="O147" s="23">
        <v>1</v>
      </c>
      <c r="P147" s="23">
        <v>0</v>
      </c>
      <c r="Q147" s="23">
        <v>2</v>
      </c>
      <c r="R147" s="25">
        <v>6</v>
      </c>
    </row>
    <row r="148" spans="1:18" x14ac:dyDescent="0.25">
      <c r="A148" s="73">
        <v>42223</v>
      </c>
      <c r="B148" s="20"/>
      <c r="C148" s="15" t="s">
        <v>46</v>
      </c>
      <c r="D148" s="16">
        <v>1</v>
      </c>
      <c r="E148" s="16">
        <v>4</v>
      </c>
      <c r="F148" s="76">
        <f t="shared" si="36"/>
        <v>0.25</v>
      </c>
      <c r="G148" s="16">
        <v>0</v>
      </c>
      <c r="H148" s="16">
        <v>0</v>
      </c>
      <c r="I148" s="76">
        <f t="shared" si="37"/>
        <v>0</v>
      </c>
      <c r="J148" s="16">
        <v>0</v>
      </c>
      <c r="K148" s="16">
        <v>2</v>
      </c>
      <c r="L148" s="76">
        <f t="shared" si="38"/>
        <v>0</v>
      </c>
      <c r="M148" s="16">
        <v>3</v>
      </c>
      <c r="N148" s="16">
        <v>0</v>
      </c>
      <c r="O148" s="16">
        <v>1</v>
      </c>
      <c r="P148" s="16">
        <v>0</v>
      </c>
      <c r="Q148" s="16">
        <v>0</v>
      </c>
      <c r="R148" s="16">
        <v>2</v>
      </c>
    </row>
    <row r="149" spans="1:18" x14ac:dyDescent="0.25">
      <c r="A149" s="71">
        <v>42225</v>
      </c>
      <c r="B149" s="20"/>
      <c r="C149" s="15" t="s">
        <v>65</v>
      </c>
      <c r="D149" s="16">
        <v>1</v>
      </c>
      <c r="E149" s="16">
        <v>3</v>
      </c>
      <c r="F149" s="76">
        <f t="shared" si="36"/>
        <v>0.33333333333333331</v>
      </c>
      <c r="G149" s="16">
        <v>0</v>
      </c>
      <c r="H149" s="16">
        <v>0</v>
      </c>
      <c r="I149" s="76">
        <f t="shared" si="37"/>
        <v>0</v>
      </c>
      <c r="J149" s="16">
        <v>0</v>
      </c>
      <c r="K149" s="16">
        <v>0</v>
      </c>
      <c r="L149" s="76">
        <f t="shared" si="38"/>
        <v>0</v>
      </c>
      <c r="M149" s="16">
        <v>7</v>
      </c>
      <c r="N149" s="16">
        <v>0</v>
      </c>
      <c r="O149" s="16">
        <v>0</v>
      </c>
      <c r="P149" s="16">
        <v>0</v>
      </c>
      <c r="Q149" s="16">
        <v>1</v>
      </c>
      <c r="R149" s="16">
        <v>2</v>
      </c>
    </row>
    <row r="150" spans="1:18" x14ac:dyDescent="0.25">
      <c r="A150" s="71">
        <v>42225</v>
      </c>
      <c r="B150" s="20"/>
      <c r="C150" s="15" t="s">
        <v>50</v>
      </c>
      <c r="D150" s="16">
        <v>1</v>
      </c>
      <c r="E150" s="16">
        <v>4</v>
      </c>
      <c r="F150" s="76">
        <f t="shared" si="36"/>
        <v>0.25</v>
      </c>
      <c r="G150" s="16">
        <v>1</v>
      </c>
      <c r="H150" s="16">
        <v>4</v>
      </c>
      <c r="I150" s="76">
        <f t="shared" si="37"/>
        <v>0.25</v>
      </c>
      <c r="J150" s="16">
        <v>4</v>
      </c>
      <c r="K150" s="16">
        <v>4</v>
      </c>
      <c r="L150" s="76">
        <f t="shared" si="38"/>
        <v>1</v>
      </c>
      <c r="M150" s="16">
        <v>0</v>
      </c>
      <c r="N150" s="16">
        <v>4</v>
      </c>
      <c r="O150" s="16">
        <v>0</v>
      </c>
      <c r="P150" s="16">
        <v>1</v>
      </c>
      <c r="Q150" s="16">
        <v>0</v>
      </c>
      <c r="R150" s="16">
        <v>7</v>
      </c>
    </row>
    <row r="151" spans="1:18" x14ac:dyDescent="0.25">
      <c r="A151" s="71">
        <v>42225</v>
      </c>
      <c r="B151" s="20"/>
      <c r="C151" s="15" t="s">
        <v>159</v>
      </c>
      <c r="D151" s="16">
        <v>4</v>
      </c>
      <c r="E151" s="16">
        <v>8</v>
      </c>
      <c r="F151" s="76">
        <f t="shared" si="36"/>
        <v>0.5</v>
      </c>
      <c r="G151" s="16">
        <v>2</v>
      </c>
      <c r="H151" s="16">
        <v>6</v>
      </c>
      <c r="I151" s="76">
        <f t="shared" si="37"/>
        <v>0.33333333333333331</v>
      </c>
      <c r="J151" s="16">
        <v>6</v>
      </c>
      <c r="K151" s="16">
        <v>6</v>
      </c>
      <c r="L151" s="76">
        <f t="shared" si="38"/>
        <v>1</v>
      </c>
      <c r="M151" s="16">
        <v>4</v>
      </c>
      <c r="N151" s="16">
        <v>0</v>
      </c>
      <c r="O151" s="16">
        <v>2</v>
      </c>
      <c r="P151" s="16">
        <v>1</v>
      </c>
      <c r="Q151" s="16">
        <v>0</v>
      </c>
      <c r="R151" s="16">
        <v>16</v>
      </c>
    </row>
    <row r="152" spans="1:18" x14ac:dyDescent="0.25">
      <c r="A152" s="71">
        <v>42225</v>
      </c>
      <c r="B152" s="20"/>
      <c r="C152" s="15" t="s">
        <v>46</v>
      </c>
      <c r="D152" s="16">
        <v>5</v>
      </c>
      <c r="E152" s="16">
        <v>12</v>
      </c>
      <c r="F152" s="76">
        <f t="shared" si="36"/>
        <v>0.41666666666666669</v>
      </c>
      <c r="G152" s="16">
        <v>0</v>
      </c>
      <c r="H152" s="16">
        <v>0</v>
      </c>
      <c r="I152" s="76">
        <f t="shared" si="37"/>
        <v>0</v>
      </c>
      <c r="J152" s="16">
        <v>4</v>
      </c>
      <c r="K152" s="16">
        <v>7</v>
      </c>
      <c r="L152" s="76">
        <f t="shared" si="38"/>
        <v>0.5714285714285714</v>
      </c>
      <c r="M152" s="16">
        <v>11</v>
      </c>
      <c r="N152" s="16">
        <v>2</v>
      </c>
      <c r="O152" s="16">
        <v>2</v>
      </c>
      <c r="P152" s="16">
        <v>0</v>
      </c>
      <c r="Q152" s="16">
        <v>0</v>
      </c>
      <c r="R152" s="16">
        <v>14</v>
      </c>
    </row>
    <row r="153" spans="1:18" x14ac:dyDescent="0.25">
      <c r="A153" s="79">
        <v>42227</v>
      </c>
      <c r="B153" s="60"/>
      <c r="C153" s="59" t="s">
        <v>72</v>
      </c>
      <c r="D153" s="57">
        <v>3</v>
      </c>
      <c r="E153" s="57">
        <v>6</v>
      </c>
      <c r="F153" s="78">
        <f t="shared" ref="F153:F162" si="39">IF(E153=0,0,D153/E153)</f>
        <v>0.5</v>
      </c>
      <c r="G153" s="57">
        <v>1</v>
      </c>
      <c r="H153" s="57">
        <v>1</v>
      </c>
      <c r="I153" s="78">
        <f t="shared" ref="I153:I162" si="40">IF(H153=0,0,G153/H153)</f>
        <v>1</v>
      </c>
      <c r="J153" s="57">
        <v>3</v>
      </c>
      <c r="K153" s="57">
        <v>3</v>
      </c>
      <c r="L153" s="78">
        <f t="shared" ref="L153:L162" si="41">IF(K153=0,0,J153/K153)</f>
        <v>1</v>
      </c>
      <c r="M153" s="57">
        <v>4</v>
      </c>
      <c r="N153" s="57">
        <v>0</v>
      </c>
      <c r="O153" s="57">
        <v>1</v>
      </c>
      <c r="P153" s="57">
        <v>1</v>
      </c>
      <c r="Q153" s="57">
        <v>0</v>
      </c>
      <c r="R153" s="57">
        <v>10</v>
      </c>
    </row>
    <row r="154" spans="1:18" x14ac:dyDescent="0.25">
      <c r="A154" s="79">
        <v>42227</v>
      </c>
      <c r="B154" s="60"/>
      <c r="C154" s="59" t="s">
        <v>49</v>
      </c>
      <c r="D154" s="57">
        <v>2</v>
      </c>
      <c r="E154" s="57">
        <v>10</v>
      </c>
      <c r="F154" s="78">
        <f t="shared" si="39"/>
        <v>0.2</v>
      </c>
      <c r="G154" s="57">
        <v>0</v>
      </c>
      <c r="H154" s="57">
        <v>0</v>
      </c>
      <c r="I154" s="78">
        <f t="shared" si="40"/>
        <v>0</v>
      </c>
      <c r="J154" s="57">
        <v>0</v>
      </c>
      <c r="K154" s="57">
        <v>0</v>
      </c>
      <c r="L154" s="78">
        <f t="shared" si="41"/>
        <v>0</v>
      </c>
      <c r="M154" s="57">
        <v>8</v>
      </c>
      <c r="N154" s="57">
        <v>4</v>
      </c>
      <c r="O154" s="57">
        <v>1</v>
      </c>
      <c r="P154" s="57">
        <v>3</v>
      </c>
      <c r="Q154" s="57">
        <v>0</v>
      </c>
      <c r="R154" s="57">
        <v>4</v>
      </c>
    </row>
    <row r="155" spans="1:18" x14ac:dyDescent="0.25">
      <c r="A155" s="79">
        <v>42227</v>
      </c>
      <c r="B155" s="60"/>
      <c r="C155" s="59" t="s">
        <v>140</v>
      </c>
      <c r="D155" s="57">
        <v>9</v>
      </c>
      <c r="E155" s="57">
        <v>13</v>
      </c>
      <c r="F155" s="78">
        <f t="shared" si="39"/>
        <v>0.69230769230769229</v>
      </c>
      <c r="G155" s="57">
        <v>0</v>
      </c>
      <c r="H155" s="57">
        <v>1</v>
      </c>
      <c r="I155" s="78">
        <f t="shared" si="40"/>
        <v>0</v>
      </c>
      <c r="J155" s="57">
        <v>4</v>
      </c>
      <c r="K155" s="57">
        <v>4</v>
      </c>
      <c r="L155" s="78">
        <f t="shared" si="41"/>
        <v>1</v>
      </c>
      <c r="M155" s="57">
        <v>1</v>
      </c>
      <c r="N155" s="57">
        <v>2</v>
      </c>
      <c r="O155" s="57">
        <v>3</v>
      </c>
      <c r="P155" s="57">
        <v>1</v>
      </c>
      <c r="Q155" s="57">
        <v>0</v>
      </c>
      <c r="R155" s="57">
        <v>22</v>
      </c>
    </row>
    <row r="156" spans="1:18" x14ac:dyDescent="0.25">
      <c r="A156" s="79">
        <v>42227</v>
      </c>
      <c r="B156" s="60"/>
      <c r="C156" s="59" t="s">
        <v>31</v>
      </c>
      <c r="D156" s="57">
        <v>2</v>
      </c>
      <c r="E156" s="57">
        <v>11</v>
      </c>
      <c r="F156" s="78">
        <f t="shared" si="39"/>
        <v>0.18181818181818182</v>
      </c>
      <c r="G156" s="57">
        <v>0</v>
      </c>
      <c r="H156" s="57">
        <v>0</v>
      </c>
      <c r="I156" s="78">
        <f t="shared" si="40"/>
        <v>0</v>
      </c>
      <c r="J156" s="57">
        <v>0</v>
      </c>
      <c r="K156" s="57">
        <v>0</v>
      </c>
      <c r="L156" s="78">
        <f t="shared" si="41"/>
        <v>0</v>
      </c>
      <c r="M156" s="57">
        <v>8</v>
      </c>
      <c r="N156" s="57">
        <v>2</v>
      </c>
      <c r="O156" s="57">
        <v>3</v>
      </c>
      <c r="P156" s="57">
        <v>0</v>
      </c>
      <c r="Q156" s="57">
        <v>0</v>
      </c>
      <c r="R156" s="57">
        <v>4</v>
      </c>
    </row>
    <row r="157" spans="1:18" x14ac:dyDescent="0.25">
      <c r="A157" s="79">
        <v>42228</v>
      </c>
      <c r="B157" s="60"/>
      <c r="C157" s="59" t="s">
        <v>46</v>
      </c>
      <c r="D157" s="57">
        <v>1</v>
      </c>
      <c r="E157" s="57">
        <v>3</v>
      </c>
      <c r="F157" s="78">
        <f t="shared" si="39"/>
        <v>0.33333333333333331</v>
      </c>
      <c r="G157" s="57">
        <v>0</v>
      </c>
      <c r="H157" s="57">
        <v>0</v>
      </c>
      <c r="I157" s="78">
        <f t="shared" si="40"/>
        <v>0</v>
      </c>
      <c r="J157" s="57">
        <v>1</v>
      </c>
      <c r="K157" s="57">
        <v>1</v>
      </c>
      <c r="L157" s="78">
        <f t="shared" si="41"/>
        <v>1</v>
      </c>
      <c r="M157" s="57">
        <v>3</v>
      </c>
      <c r="N157" s="57">
        <v>1</v>
      </c>
      <c r="O157" s="57">
        <v>0</v>
      </c>
      <c r="P157" s="57">
        <v>0</v>
      </c>
      <c r="Q157" s="57">
        <v>0</v>
      </c>
      <c r="R157" s="57">
        <v>3</v>
      </c>
    </row>
    <row r="158" spans="1:18" x14ac:dyDescent="0.25">
      <c r="A158" s="79">
        <v>42228</v>
      </c>
      <c r="B158" s="60"/>
      <c r="C158" s="59" t="s">
        <v>159</v>
      </c>
      <c r="D158" s="57">
        <v>2</v>
      </c>
      <c r="E158" s="57">
        <v>9</v>
      </c>
      <c r="F158" s="78">
        <f t="shared" si="39"/>
        <v>0.22222222222222221</v>
      </c>
      <c r="G158" s="57">
        <v>1</v>
      </c>
      <c r="H158" s="57">
        <v>4</v>
      </c>
      <c r="I158" s="78">
        <f t="shared" si="40"/>
        <v>0.25</v>
      </c>
      <c r="J158" s="57">
        <v>0</v>
      </c>
      <c r="K158" s="57">
        <v>0</v>
      </c>
      <c r="L158" s="78">
        <f t="shared" si="41"/>
        <v>0</v>
      </c>
      <c r="M158" s="57">
        <v>2</v>
      </c>
      <c r="N158" s="57">
        <v>0</v>
      </c>
      <c r="O158" s="57">
        <v>0</v>
      </c>
      <c r="P158" s="57">
        <v>1</v>
      </c>
      <c r="Q158" s="57">
        <v>0</v>
      </c>
      <c r="R158" s="57">
        <v>5</v>
      </c>
    </row>
    <row r="159" spans="1:18" x14ac:dyDescent="0.25">
      <c r="A159" s="79">
        <v>42230</v>
      </c>
      <c r="B159" s="60"/>
      <c r="C159" s="59" t="s">
        <v>159</v>
      </c>
      <c r="D159" s="57">
        <v>2</v>
      </c>
      <c r="E159" s="57">
        <v>5</v>
      </c>
      <c r="F159" s="78">
        <f t="shared" si="39"/>
        <v>0.4</v>
      </c>
      <c r="G159" s="57">
        <v>1</v>
      </c>
      <c r="H159" s="57">
        <v>3</v>
      </c>
      <c r="I159" s="78">
        <f t="shared" si="40"/>
        <v>0.33333333333333331</v>
      </c>
      <c r="J159" s="57">
        <v>1</v>
      </c>
      <c r="K159" s="57">
        <v>3</v>
      </c>
      <c r="L159" s="78">
        <f t="shared" si="41"/>
        <v>0.33333333333333331</v>
      </c>
      <c r="M159" s="57">
        <v>0</v>
      </c>
      <c r="N159" s="57">
        <v>2</v>
      </c>
      <c r="O159" s="57">
        <v>1</v>
      </c>
      <c r="P159" s="57">
        <v>2</v>
      </c>
      <c r="Q159" s="57">
        <v>0</v>
      </c>
      <c r="R159" s="57">
        <v>6</v>
      </c>
    </row>
    <row r="160" spans="1:18" x14ac:dyDescent="0.25">
      <c r="A160" s="79">
        <v>42230</v>
      </c>
      <c r="B160" s="60"/>
      <c r="C160" s="59" t="s">
        <v>49</v>
      </c>
      <c r="D160" s="57">
        <v>14</v>
      </c>
      <c r="E160" s="57">
        <v>21</v>
      </c>
      <c r="F160" s="78">
        <f t="shared" si="39"/>
        <v>0.66666666666666663</v>
      </c>
      <c r="G160" s="57">
        <v>0</v>
      </c>
      <c r="H160" s="57">
        <v>0</v>
      </c>
      <c r="I160" s="78">
        <f t="shared" si="40"/>
        <v>0</v>
      </c>
      <c r="J160" s="57">
        <v>3</v>
      </c>
      <c r="K160" s="57">
        <v>3</v>
      </c>
      <c r="L160" s="78">
        <f t="shared" si="41"/>
        <v>1</v>
      </c>
      <c r="M160" s="57">
        <v>8</v>
      </c>
      <c r="N160" s="57">
        <v>3</v>
      </c>
      <c r="O160" s="57">
        <v>1</v>
      </c>
      <c r="P160" s="57">
        <v>0</v>
      </c>
      <c r="Q160" s="57">
        <v>0</v>
      </c>
      <c r="R160" s="57">
        <v>31</v>
      </c>
    </row>
    <row r="161" spans="1:18" x14ac:dyDescent="0.25">
      <c r="A161" s="79">
        <v>42230</v>
      </c>
      <c r="B161" s="60"/>
      <c r="C161" s="59" t="s">
        <v>140</v>
      </c>
      <c r="D161" s="57">
        <v>9</v>
      </c>
      <c r="E161" s="57">
        <v>17</v>
      </c>
      <c r="F161" s="78">
        <f t="shared" si="39"/>
        <v>0.52941176470588236</v>
      </c>
      <c r="G161" s="57">
        <v>1</v>
      </c>
      <c r="H161" s="57">
        <v>1</v>
      </c>
      <c r="I161" s="78">
        <f t="shared" si="40"/>
        <v>1</v>
      </c>
      <c r="J161" s="57">
        <v>4</v>
      </c>
      <c r="K161" s="57">
        <v>5</v>
      </c>
      <c r="L161" s="78">
        <f t="shared" si="41"/>
        <v>0.8</v>
      </c>
      <c r="M161" s="57">
        <v>7</v>
      </c>
      <c r="N161" s="57">
        <v>6</v>
      </c>
      <c r="O161" s="57">
        <v>6</v>
      </c>
      <c r="P161" s="57">
        <v>0</v>
      </c>
      <c r="Q161" s="57">
        <v>0</v>
      </c>
      <c r="R161" s="57">
        <v>23</v>
      </c>
    </row>
    <row r="162" spans="1:18" x14ac:dyDescent="0.25">
      <c r="A162" s="79">
        <v>42230</v>
      </c>
      <c r="B162" s="60"/>
      <c r="C162" s="59" t="s">
        <v>65</v>
      </c>
      <c r="D162" s="57">
        <v>3</v>
      </c>
      <c r="E162" s="57">
        <v>6</v>
      </c>
      <c r="F162" s="78">
        <f t="shared" si="39"/>
        <v>0.5</v>
      </c>
      <c r="G162" s="57">
        <v>0</v>
      </c>
      <c r="H162" s="57">
        <v>0</v>
      </c>
      <c r="I162" s="78">
        <f t="shared" si="40"/>
        <v>0</v>
      </c>
      <c r="J162" s="57">
        <v>0</v>
      </c>
      <c r="K162" s="57">
        <v>0</v>
      </c>
      <c r="L162" s="78">
        <f t="shared" si="41"/>
        <v>0</v>
      </c>
      <c r="M162" s="57">
        <v>0</v>
      </c>
      <c r="N162" s="57">
        <v>1</v>
      </c>
      <c r="O162" s="57">
        <v>0</v>
      </c>
      <c r="P162" s="57">
        <v>1</v>
      </c>
      <c r="Q162" s="57">
        <v>0</v>
      </c>
      <c r="R162" s="57">
        <v>6</v>
      </c>
    </row>
    <row r="163" spans="1:18" x14ac:dyDescent="0.25">
      <c r="A163" s="43">
        <v>42231</v>
      </c>
      <c r="B163" s="47"/>
      <c r="C163" s="81" t="s">
        <v>49</v>
      </c>
      <c r="D163" s="84">
        <v>5</v>
      </c>
      <c r="E163" s="84">
        <v>10</v>
      </c>
      <c r="F163" s="85">
        <f t="shared" ref="F163:F169" si="42">IF(E163=0,0,D163/E163)</f>
        <v>0.5</v>
      </c>
      <c r="G163" s="84">
        <v>0</v>
      </c>
      <c r="H163" s="84">
        <v>0</v>
      </c>
      <c r="I163" s="85">
        <f t="shared" ref="I163:I169" si="43">IF(H163=0,0,G163/H163)</f>
        <v>0</v>
      </c>
      <c r="J163" s="84">
        <v>3</v>
      </c>
      <c r="K163" s="84">
        <v>4</v>
      </c>
      <c r="L163" s="85">
        <f t="shared" ref="L163:L169" si="44">IF(K163=0,0,J163/K163)</f>
        <v>0.75</v>
      </c>
      <c r="M163" s="84">
        <v>8</v>
      </c>
      <c r="N163" s="84">
        <v>1</v>
      </c>
      <c r="O163" s="84">
        <v>0</v>
      </c>
      <c r="P163" s="84">
        <v>1</v>
      </c>
      <c r="Q163" s="84">
        <v>0</v>
      </c>
      <c r="R163" s="84">
        <v>13</v>
      </c>
    </row>
    <row r="164" spans="1:18" x14ac:dyDescent="0.25">
      <c r="A164" s="43">
        <v>42231</v>
      </c>
      <c r="B164" s="47"/>
      <c r="C164" s="81" t="s">
        <v>140</v>
      </c>
      <c r="D164" s="84">
        <v>2</v>
      </c>
      <c r="E164" s="84">
        <v>11</v>
      </c>
      <c r="F164" s="85">
        <f t="shared" si="42"/>
        <v>0.18181818181818182</v>
      </c>
      <c r="G164" s="84">
        <v>1</v>
      </c>
      <c r="H164" s="84">
        <v>5</v>
      </c>
      <c r="I164" s="85">
        <f t="shared" si="43"/>
        <v>0.2</v>
      </c>
      <c r="J164" s="84">
        <v>4</v>
      </c>
      <c r="K164" s="84">
        <v>4</v>
      </c>
      <c r="L164" s="85">
        <f t="shared" si="44"/>
        <v>1</v>
      </c>
      <c r="M164" s="84">
        <v>2</v>
      </c>
      <c r="N164" s="84">
        <v>5</v>
      </c>
      <c r="O164" s="84">
        <v>1</v>
      </c>
      <c r="P164" s="84">
        <v>1</v>
      </c>
      <c r="Q164" s="84">
        <v>0</v>
      </c>
      <c r="R164" s="84">
        <v>9</v>
      </c>
    </row>
    <row r="165" spans="1:18" x14ac:dyDescent="0.25">
      <c r="A165" s="43">
        <v>42232</v>
      </c>
      <c r="B165" s="47"/>
      <c r="C165" s="80" t="s">
        <v>159</v>
      </c>
      <c r="D165" s="84">
        <v>3</v>
      </c>
      <c r="E165" s="84">
        <v>7</v>
      </c>
      <c r="F165" s="85">
        <f t="shared" si="42"/>
        <v>0.42857142857142855</v>
      </c>
      <c r="G165" s="84">
        <v>2</v>
      </c>
      <c r="H165" s="84">
        <v>5</v>
      </c>
      <c r="I165" s="85">
        <f t="shared" si="43"/>
        <v>0.4</v>
      </c>
      <c r="J165" s="84">
        <v>0</v>
      </c>
      <c r="K165" s="84">
        <v>0</v>
      </c>
      <c r="L165" s="85">
        <f t="shared" si="44"/>
        <v>0</v>
      </c>
      <c r="M165" s="84">
        <v>0</v>
      </c>
      <c r="N165" s="84">
        <v>0</v>
      </c>
      <c r="O165" s="84">
        <v>0</v>
      </c>
      <c r="P165" s="84">
        <v>0</v>
      </c>
      <c r="Q165" s="84">
        <v>0</v>
      </c>
      <c r="R165" s="84">
        <v>8</v>
      </c>
    </row>
    <row r="166" spans="1:18" x14ac:dyDescent="0.25">
      <c r="A166" s="43">
        <v>42232</v>
      </c>
      <c r="B166" s="47"/>
      <c r="C166" s="80" t="s">
        <v>65</v>
      </c>
      <c r="D166" s="84">
        <v>1</v>
      </c>
      <c r="E166" s="84">
        <v>2</v>
      </c>
      <c r="F166" s="85">
        <f t="shared" si="42"/>
        <v>0.5</v>
      </c>
      <c r="G166" s="84">
        <v>0</v>
      </c>
      <c r="H166" s="84">
        <v>0</v>
      </c>
      <c r="I166" s="85">
        <f t="shared" si="43"/>
        <v>0</v>
      </c>
      <c r="J166" s="84">
        <v>0</v>
      </c>
      <c r="K166" s="84">
        <v>0</v>
      </c>
      <c r="L166" s="85">
        <f t="shared" si="44"/>
        <v>0</v>
      </c>
      <c r="M166" s="84">
        <v>0</v>
      </c>
      <c r="N166" s="84">
        <v>0</v>
      </c>
      <c r="O166" s="84">
        <v>1</v>
      </c>
      <c r="P166" s="84">
        <v>2</v>
      </c>
      <c r="Q166" s="84">
        <v>0</v>
      </c>
      <c r="R166" s="84">
        <v>2</v>
      </c>
    </row>
    <row r="167" spans="1:18" x14ac:dyDescent="0.25">
      <c r="A167" s="43">
        <v>42232</v>
      </c>
      <c r="B167" s="47"/>
      <c r="C167" s="80" t="s">
        <v>50</v>
      </c>
      <c r="D167" s="84">
        <v>3</v>
      </c>
      <c r="E167" s="84">
        <v>7</v>
      </c>
      <c r="F167" s="85">
        <f t="shared" si="42"/>
        <v>0.42857142857142855</v>
      </c>
      <c r="G167" s="84">
        <v>1</v>
      </c>
      <c r="H167" s="84">
        <v>4</v>
      </c>
      <c r="I167" s="85">
        <f t="shared" si="43"/>
        <v>0.25</v>
      </c>
      <c r="J167" s="84">
        <v>3</v>
      </c>
      <c r="K167" s="84">
        <v>4</v>
      </c>
      <c r="L167" s="85">
        <f t="shared" si="44"/>
        <v>0.75</v>
      </c>
      <c r="M167" s="84">
        <v>2</v>
      </c>
      <c r="N167" s="84">
        <v>2</v>
      </c>
      <c r="O167" s="84">
        <v>3</v>
      </c>
      <c r="P167" s="84">
        <v>1</v>
      </c>
      <c r="Q167" s="84">
        <v>0</v>
      </c>
      <c r="R167" s="84">
        <v>10</v>
      </c>
    </row>
    <row r="168" spans="1:18" x14ac:dyDescent="0.25">
      <c r="A168" s="43">
        <v>42232</v>
      </c>
      <c r="B168" s="47"/>
      <c r="C168" s="80" t="s">
        <v>54</v>
      </c>
      <c r="D168" s="84">
        <v>1</v>
      </c>
      <c r="E168" s="84">
        <v>8</v>
      </c>
      <c r="F168" s="85">
        <f t="shared" si="42"/>
        <v>0.125</v>
      </c>
      <c r="G168" s="84">
        <v>1</v>
      </c>
      <c r="H168" s="84">
        <v>7</v>
      </c>
      <c r="I168" s="85">
        <f t="shared" si="43"/>
        <v>0.14285714285714285</v>
      </c>
      <c r="J168" s="84">
        <v>2</v>
      </c>
      <c r="K168" s="84">
        <v>2</v>
      </c>
      <c r="L168" s="85">
        <f t="shared" si="44"/>
        <v>1</v>
      </c>
      <c r="M168" s="84">
        <v>0</v>
      </c>
      <c r="N168" s="84">
        <v>0</v>
      </c>
      <c r="O168" s="84">
        <v>0</v>
      </c>
      <c r="P168" s="84">
        <v>1</v>
      </c>
      <c r="Q168" s="84">
        <v>0</v>
      </c>
      <c r="R168" s="84">
        <v>5</v>
      </c>
    </row>
    <row r="169" spans="1:18" x14ac:dyDescent="0.25">
      <c r="A169" s="43">
        <v>42232</v>
      </c>
      <c r="B169" s="47"/>
      <c r="C169" s="22" t="s">
        <v>72</v>
      </c>
      <c r="D169" s="84">
        <v>2</v>
      </c>
      <c r="E169" s="84">
        <v>2</v>
      </c>
      <c r="F169" s="85">
        <f t="shared" si="42"/>
        <v>1</v>
      </c>
      <c r="G169" s="84">
        <v>0</v>
      </c>
      <c r="H169" s="84">
        <v>0</v>
      </c>
      <c r="I169" s="85">
        <f t="shared" si="43"/>
        <v>0</v>
      </c>
      <c r="J169" s="84">
        <v>2</v>
      </c>
      <c r="K169" s="84">
        <v>2</v>
      </c>
      <c r="L169" s="85">
        <f t="shared" si="44"/>
        <v>1</v>
      </c>
      <c r="M169" s="84">
        <v>3</v>
      </c>
      <c r="N169" s="84">
        <v>0</v>
      </c>
      <c r="O169" s="84">
        <v>0</v>
      </c>
      <c r="P169" s="84">
        <v>2</v>
      </c>
      <c r="Q169" s="84">
        <v>0</v>
      </c>
      <c r="R169" s="84">
        <v>6</v>
      </c>
    </row>
    <row r="170" spans="1:18" x14ac:dyDescent="0.25">
      <c r="A170" s="71">
        <v>42234</v>
      </c>
      <c r="B170" s="20"/>
      <c r="C170" s="15" t="s">
        <v>149</v>
      </c>
      <c r="D170" s="16">
        <v>1</v>
      </c>
      <c r="E170" s="16">
        <v>6</v>
      </c>
      <c r="F170" s="96">
        <f t="shared" ref="F170:F187" si="45">IF(E170=0,0,D170/E170)</f>
        <v>0.16666666666666666</v>
      </c>
      <c r="G170" s="16">
        <v>0</v>
      </c>
      <c r="H170" s="16">
        <v>0</v>
      </c>
      <c r="I170" s="96">
        <f t="shared" ref="I170:I187" si="46">IF(H170=0,0,G170/H170)</f>
        <v>0</v>
      </c>
      <c r="J170" s="16">
        <v>0</v>
      </c>
      <c r="K170" s="16">
        <v>0</v>
      </c>
      <c r="L170" s="96">
        <f t="shared" ref="L170:L187" si="47">IF(K170=0,0,J170/K170)</f>
        <v>0</v>
      </c>
      <c r="M170" s="16">
        <v>8</v>
      </c>
      <c r="N170" s="16">
        <v>3</v>
      </c>
      <c r="O170" s="16">
        <v>0</v>
      </c>
      <c r="P170" s="16">
        <v>3</v>
      </c>
      <c r="Q170" s="16">
        <v>0</v>
      </c>
      <c r="R170" s="16">
        <v>2</v>
      </c>
    </row>
    <row r="171" spans="1:18" x14ac:dyDescent="0.25">
      <c r="A171" s="71">
        <v>42235</v>
      </c>
      <c r="B171" s="20"/>
      <c r="C171" s="15" t="s">
        <v>54</v>
      </c>
      <c r="D171" s="16">
        <v>3</v>
      </c>
      <c r="E171" s="16">
        <v>13</v>
      </c>
      <c r="F171" s="96">
        <f t="shared" si="45"/>
        <v>0.23076923076923078</v>
      </c>
      <c r="G171" s="16">
        <v>2</v>
      </c>
      <c r="H171" s="16">
        <v>6</v>
      </c>
      <c r="I171" s="96">
        <f t="shared" si="46"/>
        <v>0.33333333333333331</v>
      </c>
      <c r="J171" s="16">
        <v>2</v>
      </c>
      <c r="K171" s="16">
        <v>2</v>
      </c>
      <c r="L171" s="96">
        <f t="shared" si="47"/>
        <v>1</v>
      </c>
      <c r="M171" s="16">
        <v>3</v>
      </c>
      <c r="N171" s="16">
        <v>1</v>
      </c>
      <c r="O171" s="16">
        <v>1</v>
      </c>
      <c r="P171" s="16">
        <v>1</v>
      </c>
      <c r="Q171" s="16">
        <v>0</v>
      </c>
      <c r="R171" s="16">
        <v>10</v>
      </c>
    </row>
    <row r="172" spans="1:18" x14ac:dyDescent="0.25">
      <c r="A172" s="71">
        <v>42235</v>
      </c>
      <c r="B172" s="20"/>
      <c r="C172" s="15" t="s">
        <v>140</v>
      </c>
      <c r="D172" s="16">
        <v>4</v>
      </c>
      <c r="E172" s="16">
        <v>9</v>
      </c>
      <c r="F172" s="96">
        <f t="shared" si="45"/>
        <v>0.44444444444444442</v>
      </c>
      <c r="G172" s="16">
        <v>0</v>
      </c>
      <c r="H172" s="16">
        <v>2</v>
      </c>
      <c r="I172" s="96">
        <f t="shared" si="46"/>
        <v>0</v>
      </c>
      <c r="J172" s="16">
        <v>2</v>
      </c>
      <c r="K172" s="16">
        <v>2</v>
      </c>
      <c r="L172" s="96">
        <f t="shared" si="47"/>
        <v>1</v>
      </c>
      <c r="M172" s="16">
        <v>3</v>
      </c>
      <c r="N172" s="16">
        <v>6</v>
      </c>
      <c r="O172" s="16">
        <v>3</v>
      </c>
      <c r="P172" s="16">
        <v>0</v>
      </c>
      <c r="Q172" s="16">
        <v>0</v>
      </c>
      <c r="R172" s="16">
        <v>10</v>
      </c>
    </row>
    <row r="173" spans="1:18" x14ac:dyDescent="0.25">
      <c r="A173" s="71">
        <v>42235</v>
      </c>
      <c r="B173" s="20"/>
      <c r="C173" s="15" t="s">
        <v>49</v>
      </c>
      <c r="D173" s="16">
        <v>9</v>
      </c>
      <c r="E173" s="16">
        <v>12</v>
      </c>
      <c r="F173" s="96">
        <f t="shared" si="45"/>
        <v>0.75</v>
      </c>
      <c r="G173" s="16">
        <v>0</v>
      </c>
      <c r="H173" s="16">
        <v>0</v>
      </c>
      <c r="I173" s="96">
        <f t="shared" si="46"/>
        <v>0</v>
      </c>
      <c r="J173" s="16">
        <v>0</v>
      </c>
      <c r="K173" s="16">
        <v>0</v>
      </c>
      <c r="L173" s="96">
        <f t="shared" si="47"/>
        <v>0</v>
      </c>
      <c r="M173" s="16">
        <v>5</v>
      </c>
      <c r="N173" s="16">
        <v>4</v>
      </c>
      <c r="O173" s="16">
        <v>0</v>
      </c>
      <c r="P173" s="16">
        <v>2</v>
      </c>
      <c r="Q173" s="16">
        <v>0</v>
      </c>
      <c r="R173" s="16">
        <v>18</v>
      </c>
    </row>
    <row r="174" spans="1:18" x14ac:dyDescent="0.25">
      <c r="A174" s="71">
        <v>42235</v>
      </c>
      <c r="B174" s="20"/>
      <c r="C174" s="15" t="s">
        <v>48</v>
      </c>
      <c r="D174" s="16">
        <v>2</v>
      </c>
      <c r="E174" s="16">
        <v>4</v>
      </c>
      <c r="F174" s="96">
        <f t="shared" si="45"/>
        <v>0.5</v>
      </c>
      <c r="G174" s="16">
        <v>0</v>
      </c>
      <c r="H174" s="16">
        <v>0</v>
      </c>
      <c r="I174" s="96">
        <f t="shared" si="46"/>
        <v>0</v>
      </c>
      <c r="J174" s="16">
        <v>1</v>
      </c>
      <c r="K174" s="16">
        <v>2</v>
      </c>
      <c r="L174" s="96">
        <f t="shared" si="47"/>
        <v>0.5</v>
      </c>
      <c r="M174" s="16">
        <v>3</v>
      </c>
      <c r="N174" s="16">
        <v>1</v>
      </c>
      <c r="O174" s="16">
        <v>1</v>
      </c>
      <c r="P174" s="16">
        <v>1</v>
      </c>
      <c r="Q174" s="16">
        <v>0</v>
      </c>
      <c r="R174" s="16">
        <v>5</v>
      </c>
    </row>
    <row r="175" spans="1:18" x14ac:dyDescent="0.25">
      <c r="A175" s="71">
        <v>42235</v>
      </c>
      <c r="B175" s="20"/>
      <c r="C175" s="15" t="s">
        <v>72</v>
      </c>
      <c r="D175" s="16">
        <v>1</v>
      </c>
      <c r="E175" s="16">
        <v>4</v>
      </c>
      <c r="F175" s="96">
        <f t="shared" si="45"/>
        <v>0.25</v>
      </c>
      <c r="G175" s="16">
        <v>0</v>
      </c>
      <c r="H175" s="16">
        <v>1</v>
      </c>
      <c r="I175" s="96">
        <f t="shared" si="46"/>
        <v>0</v>
      </c>
      <c r="J175" s="16">
        <v>0</v>
      </c>
      <c r="K175" s="16">
        <v>0</v>
      </c>
      <c r="L175" s="96">
        <f t="shared" si="47"/>
        <v>0</v>
      </c>
      <c r="M175" s="16">
        <v>2</v>
      </c>
      <c r="N175" s="16">
        <v>0</v>
      </c>
      <c r="O175" s="16">
        <v>0</v>
      </c>
      <c r="P175" s="16">
        <v>2</v>
      </c>
      <c r="Q175" s="16">
        <v>0</v>
      </c>
      <c r="R175" s="16">
        <v>2</v>
      </c>
    </row>
    <row r="176" spans="1:18" x14ac:dyDescent="0.25">
      <c r="A176" s="71">
        <v>42237</v>
      </c>
      <c r="B176" s="20"/>
      <c r="C176" s="15" t="s">
        <v>159</v>
      </c>
      <c r="D176" s="16">
        <v>4</v>
      </c>
      <c r="E176" s="16">
        <v>13</v>
      </c>
      <c r="F176" s="96">
        <f t="shared" si="45"/>
        <v>0.30769230769230771</v>
      </c>
      <c r="G176" s="16">
        <v>2</v>
      </c>
      <c r="H176" s="16">
        <v>8</v>
      </c>
      <c r="I176" s="96">
        <f t="shared" si="46"/>
        <v>0.25</v>
      </c>
      <c r="J176" s="16">
        <v>3</v>
      </c>
      <c r="K176" s="16">
        <v>4</v>
      </c>
      <c r="L176" s="96">
        <f t="shared" si="47"/>
        <v>0.75</v>
      </c>
      <c r="M176" s="16">
        <v>5</v>
      </c>
      <c r="N176" s="16">
        <v>0</v>
      </c>
      <c r="O176" s="16">
        <v>0</v>
      </c>
      <c r="P176" s="16">
        <v>1</v>
      </c>
      <c r="Q176" s="16">
        <v>1</v>
      </c>
      <c r="R176" s="16">
        <v>13</v>
      </c>
    </row>
    <row r="177" spans="1:18" x14ac:dyDescent="0.25">
      <c r="A177" s="71">
        <v>42237</v>
      </c>
      <c r="B177" s="20"/>
      <c r="C177" s="15" t="s">
        <v>50</v>
      </c>
      <c r="D177" s="16">
        <v>6</v>
      </c>
      <c r="E177" s="16">
        <v>13</v>
      </c>
      <c r="F177" s="96">
        <f t="shared" si="45"/>
        <v>0.46153846153846156</v>
      </c>
      <c r="G177" s="16">
        <v>1</v>
      </c>
      <c r="H177" s="16">
        <v>3</v>
      </c>
      <c r="I177" s="96">
        <f t="shared" si="46"/>
        <v>0.33333333333333331</v>
      </c>
      <c r="J177" s="16">
        <v>4</v>
      </c>
      <c r="K177" s="16">
        <v>5</v>
      </c>
      <c r="L177" s="96">
        <f t="shared" si="47"/>
        <v>0.8</v>
      </c>
      <c r="M177" s="16">
        <v>1</v>
      </c>
      <c r="N177" s="16">
        <v>0</v>
      </c>
      <c r="O177" s="16">
        <v>1</v>
      </c>
      <c r="P177" s="16">
        <v>1</v>
      </c>
      <c r="Q177" s="16">
        <v>0</v>
      </c>
      <c r="R177" s="16">
        <v>17</v>
      </c>
    </row>
    <row r="178" spans="1:18" x14ac:dyDescent="0.25">
      <c r="A178" s="71">
        <v>42237</v>
      </c>
      <c r="B178" s="20"/>
      <c r="C178" s="15" t="s">
        <v>49</v>
      </c>
      <c r="D178" s="16">
        <v>10</v>
      </c>
      <c r="E178" s="16">
        <v>17</v>
      </c>
      <c r="F178" s="96">
        <f t="shared" si="45"/>
        <v>0.58823529411764708</v>
      </c>
      <c r="G178" s="16">
        <v>0</v>
      </c>
      <c r="H178" s="16">
        <v>0</v>
      </c>
      <c r="I178" s="96">
        <f t="shared" si="46"/>
        <v>0</v>
      </c>
      <c r="J178" s="16">
        <v>5</v>
      </c>
      <c r="K178" s="16">
        <v>6</v>
      </c>
      <c r="L178" s="96">
        <f t="shared" si="47"/>
        <v>0.83333333333333337</v>
      </c>
      <c r="M178" s="16">
        <v>7</v>
      </c>
      <c r="N178" s="16">
        <v>1</v>
      </c>
      <c r="O178" s="16">
        <v>1</v>
      </c>
      <c r="P178" s="16">
        <v>3</v>
      </c>
      <c r="Q178" s="16">
        <v>0</v>
      </c>
      <c r="R178" s="16">
        <v>25</v>
      </c>
    </row>
    <row r="179" spans="1:18" x14ac:dyDescent="0.25">
      <c r="A179" s="71">
        <v>42237</v>
      </c>
      <c r="B179" s="20"/>
      <c r="C179" s="15" t="s">
        <v>140</v>
      </c>
      <c r="D179" s="16">
        <v>6</v>
      </c>
      <c r="E179" s="16">
        <v>13</v>
      </c>
      <c r="F179" s="96">
        <f t="shared" si="45"/>
        <v>0.46153846153846156</v>
      </c>
      <c r="G179" s="16">
        <v>3</v>
      </c>
      <c r="H179" s="16">
        <v>5</v>
      </c>
      <c r="I179" s="96">
        <f t="shared" si="46"/>
        <v>0.6</v>
      </c>
      <c r="J179" s="16">
        <v>3</v>
      </c>
      <c r="K179" s="16">
        <v>3</v>
      </c>
      <c r="L179" s="96">
        <f t="shared" si="47"/>
        <v>1</v>
      </c>
      <c r="M179" s="16">
        <v>5</v>
      </c>
      <c r="N179" s="16">
        <v>3</v>
      </c>
      <c r="O179" s="16">
        <v>2</v>
      </c>
      <c r="P179" s="16">
        <v>4</v>
      </c>
      <c r="Q179" s="16">
        <v>1</v>
      </c>
      <c r="R179" s="16">
        <v>18</v>
      </c>
    </row>
    <row r="180" spans="1:18" x14ac:dyDescent="0.25">
      <c r="A180" s="71">
        <v>42237</v>
      </c>
      <c r="B180" s="20"/>
      <c r="C180" s="15" t="s">
        <v>48</v>
      </c>
      <c r="D180" s="16">
        <v>1</v>
      </c>
      <c r="E180" s="16">
        <v>5</v>
      </c>
      <c r="F180" s="96">
        <f t="shared" si="45"/>
        <v>0.2</v>
      </c>
      <c r="G180" s="16">
        <v>0</v>
      </c>
      <c r="H180" s="16">
        <v>2</v>
      </c>
      <c r="I180" s="96">
        <f t="shared" si="46"/>
        <v>0</v>
      </c>
      <c r="J180" s="16">
        <v>0</v>
      </c>
      <c r="K180" s="16">
        <v>0</v>
      </c>
      <c r="L180" s="96">
        <f t="shared" si="47"/>
        <v>0</v>
      </c>
      <c r="M180" s="16">
        <v>0</v>
      </c>
      <c r="N180" s="16">
        <v>0</v>
      </c>
      <c r="O180" s="16">
        <v>0</v>
      </c>
      <c r="P180" s="16">
        <v>1</v>
      </c>
      <c r="Q180" s="16">
        <v>0</v>
      </c>
      <c r="R180" s="16">
        <v>2</v>
      </c>
    </row>
    <row r="181" spans="1:18" x14ac:dyDescent="0.25">
      <c r="A181" s="71">
        <v>42237</v>
      </c>
      <c r="B181" s="20"/>
      <c r="C181" s="15" t="s">
        <v>54</v>
      </c>
      <c r="D181" s="16">
        <v>2</v>
      </c>
      <c r="E181" s="16">
        <v>7</v>
      </c>
      <c r="F181" s="96">
        <f t="shared" si="45"/>
        <v>0.2857142857142857</v>
      </c>
      <c r="G181" s="16">
        <v>0</v>
      </c>
      <c r="H181" s="16">
        <v>3</v>
      </c>
      <c r="I181" s="96">
        <f t="shared" si="46"/>
        <v>0</v>
      </c>
      <c r="J181" s="16">
        <v>2</v>
      </c>
      <c r="K181" s="16">
        <v>3</v>
      </c>
      <c r="L181" s="96">
        <f t="shared" si="47"/>
        <v>0.66666666666666663</v>
      </c>
      <c r="M181" s="16">
        <v>1</v>
      </c>
      <c r="N181" s="16">
        <v>2</v>
      </c>
      <c r="O181" s="16">
        <v>2</v>
      </c>
      <c r="P181" s="16">
        <v>1</v>
      </c>
      <c r="Q181" s="16">
        <v>0</v>
      </c>
      <c r="R181" s="16">
        <v>6</v>
      </c>
    </row>
    <row r="182" spans="1:18" x14ac:dyDescent="0.25">
      <c r="A182" s="21">
        <v>42239</v>
      </c>
      <c r="B182" s="20"/>
      <c r="C182" s="15" t="s">
        <v>50</v>
      </c>
      <c r="D182" s="16">
        <v>7</v>
      </c>
      <c r="E182" s="16">
        <v>12</v>
      </c>
      <c r="F182" s="96">
        <f t="shared" si="45"/>
        <v>0.58333333333333337</v>
      </c>
      <c r="G182" s="16">
        <v>3</v>
      </c>
      <c r="H182" s="16">
        <v>4</v>
      </c>
      <c r="I182" s="96">
        <f t="shared" si="46"/>
        <v>0.75</v>
      </c>
      <c r="J182" s="16">
        <v>2</v>
      </c>
      <c r="K182" s="16">
        <v>2</v>
      </c>
      <c r="L182" s="96">
        <f t="shared" si="47"/>
        <v>1</v>
      </c>
      <c r="M182" s="16">
        <v>0</v>
      </c>
      <c r="N182" s="16">
        <v>3</v>
      </c>
      <c r="O182" s="16">
        <v>0</v>
      </c>
      <c r="P182" s="16">
        <v>1</v>
      </c>
      <c r="Q182" s="16">
        <v>1</v>
      </c>
      <c r="R182" s="16">
        <v>19</v>
      </c>
    </row>
    <row r="183" spans="1:18" x14ac:dyDescent="0.25">
      <c r="A183" s="21">
        <v>42239</v>
      </c>
      <c r="B183" s="20"/>
      <c r="C183" s="15" t="s">
        <v>161</v>
      </c>
      <c r="D183" s="16">
        <v>7</v>
      </c>
      <c r="E183" s="16">
        <v>9</v>
      </c>
      <c r="F183" s="96">
        <f t="shared" si="45"/>
        <v>0.77777777777777779</v>
      </c>
      <c r="G183" s="16">
        <v>3</v>
      </c>
      <c r="H183" s="16">
        <v>4</v>
      </c>
      <c r="I183" s="96">
        <f t="shared" si="46"/>
        <v>0.75</v>
      </c>
      <c r="J183" s="16">
        <v>8</v>
      </c>
      <c r="K183" s="16">
        <v>10</v>
      </c>
      <c r="L183" s="96">
        <f t="shared" si="47"/>
        <v>0.8</v>
      </c>
      <c r="M183" s="16">
        <v>7</v>
      </c>
      <c r="N183" s="16">
        <v>1</v>
      </c>
      <c r="O183" s="16">
        <v>1</v>
      </c>
      <c r="P183" s="16">
        <v>2</v>
      </c>
      <c r="Q183" s="16">
        <v>0</v>
      </c>
      <c r="R183" s="16">
        <v>25</v>
      </c>
    </row>
    <row r="184" spans="1:18" x14ac:dyDescent="0.25">
      <c r="A184" s="21">
        <v>42239</v>
      </c>
      <c r="B184" s="20"/>
      <c r="C184" s="15" t="s">
        <v>159</v>
      </c>
      <c r="D184" s="16">
        <v>4</v>
      </c>
      <c r="E184" s="16">
        <v>10</v>
      </c>
      <c r="F184" s="96">
        <f t="shared" si="45"/>
        <v>0.4</v>
      </c>
      <c r="G184" s="16">
        <v>1</v>
      </c>
      <c r="H184" s="16">
        <v>6</v>
      </c>
      <c r="I184" s="96">
        <f t="shared" si="46"/>
        <v>0.16666666666666666</v>
      </c>
      <c r="J184" s="16">
        <v>3</v>
      </c>
      <c r="K184" s="16">
        <v>3</v>
      </c>
      <c r="L184" s="96">
        <f t="shared" si="47"/>
        <v>1</v>
      </c>
      <c r="M184" s="16">
        <v>1</v>
      </c>
      <c r="N184" s="16">
        <v>3</v>
      </c>
      <c r="O184" s="16">
        <v>0</v>
      </c>
      <c r="P184" s="16">
        <v>0</v>
      </c>
      <c r="Q184" s="16">
        <v>0</v>
      </c>
      <c r="R184" s="16">
        <v>12</v>
      </c>
    </row>
    <row r="185" spans="1:18" x14ac:dyDescent="0.25">
      <c r="A185" s="21">
        <v>42239</v>
      </c>
      <c r="B185" s="20"/>
      <c r="C185" s="15" t="s">
        <v>49</v>
      </c>
      <c r="D185" s="16">
        <v>9</v>
      </c>
      <c r="E185" s="16">
        <v>16</v>
      </c>
      <c r="F185" s="96">
        <f t="shared" si="45"/>
        <v>0.5625</v>
      </c>
      <c r="G185" s="16">
        <v>0</v>
      </c>
      <c r="H185" s="16">
        <v>0</v>
      </c>
      <c r="I185" s="96">
        <f t="shared" si="46"/>
        <v>0</v>
      </c>
      <c r="J185" s="16">
        <v>0</v>
      </c>
      <c r="K185" s="16">
        <v>0</v>
      </c>
      <c r="L185" s="96">
        <f t="shared" si="47"/>
        <v>0</v>
      </c>
      <c r="M185" s="16">
        <v>4</v>
      </c>
      <c r="N185" s="16">
        <v>1</v>
      </c>
      <c r="O185" s="16">
        <v>1</v>
      </c>
      <c r="P185" s="16">
        <v>3</v>
      </c>
      <c r="Q185" s="16">
        <v>1</v>
      </c>
      <c r="R185" s="16">
        <v>18</v>
      </c>
    </row>
    <row r="186" spans="1:18" x14ac:dyDescent="0.25">
      <c r="A186" s="21">
        <v>42239</v>
      </c>
      <c r="B186" s="20"/>
      <c r="C186" s="15" t="s">
        <v>140</v>
      </c>
      <c r="D186" s="16">
        <v>5</v>
      </c>
      <c r="E186" s="16">
        <v>14</v>
      </c>
      <c r="F186" s="96">
        <f t="shared" si="45"/>
        <v>0.35714285714285715</v>
      </c>
      <c r="G186" s="16">
        <v>0</v>
      </c>
      <c r="H186" s="16">
        <v>3</v>
      </c>
      <c r="I186" s="96">
        <f t="shared" si="46"/>
        <v>0</v>
      </c>
      <c r="J186" s="16">
        <v>5</v>
      </c>
      <c r="K186" s="16">
        <v>5</v>
      </c>
      <c r="L186" s="96">
        <f t="shared" si="47"/>
        <v>1</v>
      </c>
      <c r="M186" s="16">
        <v>2</v>
      </c>
      <c r="N186" s="16">
        <v>4</v>
      </c>
      <c r="O186" s="16">
        <v>4</v>
      </c>
      <c r="P186" s="16">
        <v>2</v>
      </c>
      <c r="Q186" s="16">
        <v>0</v>
      </c>
      <c r="R186" s="16">
        <v>15</v>
      </c>
    </row>
    <row r="187" spans="1:18" x14ac:dyDescent="0.25">
      <c r="A187" s="21">
        <v>42239</v>
      </c>
      <c r="B187" s="20"/>
      <c r="C187" s="15" t="s">
        <v>54</v>
      </c>
      <c r="D187" s="16">
        <v>0</v>
      </c>
      <c r="E187" s="16">
        <v>4</v>
      </c>
      <c r="F187" s="96">
        <f t="shared" si="45"/>
        <v>0</v>
      </c>
      <c r="G187" s="16">
        <v>0</v>
      </c>
      <c r="H187" s="16">
        <v>1</v>
      </c>
      <c r="I187" s="96">
        <f t="shared" si="46"/>
        <v>0</v>
      </c>
      <c r="J187" s="16">
        <v>0</v>
      </c>
      <c r="K187" s="16">
        <v>0</v>
      </c>
      <c r="L187" s="96">
        <f t="shared" si="47"/>
        <v>0</v>
      </c>
      <c r="M187" s="16">
        <v>3</v>
      </c>
      <c r="N187" s="16">
        <v>2</v>
      </c>
      <c r="O187" s="16">
        <v>1</v>
      </c>
      <c r="P187" s="16">
        <v>4</v>
      </c>
      <c r="Q187" s="16">
        <v>0</v>
      </c>
      <c r="R187" s="16">
        <v>0</v>
      </c>
    </row>
    <row r="188" spans="1:18" x14ac:dyDescent="0.25">
      <c r="A188" s="71">
        <v>42241</v>
      </c>
      <c r="B188" s="20"/>
      <c r="C188" s="15" t="s">
        <v>161</v>
      </c>
      <c r="D188" s="16">
        <v>3</v>
      </c>
      <c r="E188" s="16">
        <v>9</v>
      </c>
      <c r="F188" s="98">
        <f t="shared" ref="F188:F205" si="48">IF(E188=0,0,D188/E188)</f>
        <v>0.33333333333333331</v>
      </c>
      <c r="G188" s="16">
        <v>0</v>
      </c>
      <c r="H188" s="16">
        <v>4</v>
      </c>
      <c r="I188" s="98">
        <f t="shared" ref="I188:I205" si="49">IF(H188=0,0,G188/H188)</f>
        <v>0</v>
      </c>
      <c r="J188" s="16">
        <v>2</v>
      </c>
      <c r="K188" s="16">
        <v>3</v>
      </c>
      <c r="L188" s="98">
        <f t="shared" ref="L188:L205" si="50">IF(K188=0,0,J188/K188)</f>
        <v>0.66666666666666663</v>
      </c>
      <c r="M188" s="16">
        <v>5</v>
      </c>
      <c r="N188" s="16">
        <v>0</v>
      </c>
      <c r="O188" s="16">
        <v>0</v>
      </c>
      <c r="P188" s="16">
        <v>2</v>
      </c>
      <c r="Q188" s="16">
        <v>1</v>
      </c>
      <c r="R188" s="16">
        <v>8</v>
      </c>
    </row>
    <row r="189" spans="1:18" x14ac:dyDescent="0.25">
      <c r="A189" s="71">
        <v>42241</v>
      </c>
      <c r="B189" s="20"/>
      <c r="C189" s="15" t="s">
        <v>159</v>
      </c>
      <c r="D189" s="16">
        <v>5</v>
      </c>
      <c r="E189" s="16">
        <v>11</v>
      </c>
      <c r="F189" s="98">
        <f t="shared" si="48"/>
        <v>0.45454545454545453</v>
      </c>
      <c r="G189" s="16">
        <v>4</v>
      </c>
      <c r="H189" s="16">
        <v>10</v>
      </c>
      <c r="I189" s="98">
        <f t="shared" si="49"/>
        <v>0.4</v>
      </c>
      <c r="J189" s="16">
        <v>0</v>
      </c>
      <c r="K189" s="16">
        <v>0</v>
      </c>
      <c r="L189" s="98">
        <f t="shared" si="50"/>
        <v>0</v>
      </c>
      <c r="M189" s="16">
        <v>2</v>
      </c>
      <c r="N189" s="16">
        <v>1</v>
      </c>
      <c r="O189" s="16">
        <v>0</v>
      </c>
      <c r="P189" s="16">
        <v>0</v>
      </c>
      <c r="Q189" s="16">
        <v>1</v>
      </c>
      <c r="R189" s="16">
        <v>14</v>
      </c>
    </row>
    <row r="190" spans="1:18" x14ac:dyDescent="0.25">
      <c r="A190" s="71">
        <v>42241</v>
      </c>
      <c r="B190" s="20"/>
      <c r="C190" s="15" t="s">
        <v>50</v>
      </c>
      <c r="D190" s="16">
        <v>3</v>
      </c>
      <c r="E190" s="16">
        <v>8</v>
      </c>
      <c r="F190" s="98">
        <f t="shared" si="48"/>
        <v>0.375</v>
      </c>
      <c r="G190" s="16">
        <v>1</v>
      </c>
      <c r="H190" s="16">
        <v>2</v>
      </c>
      <c r="I190" s="98">
        <f t="shared" si="49"/>
        <v>0.5</v>
      </c>
      <c r="J190" s="16">
        <v>0</v>
      </c>
      <c r="K190" s="16">
        <v>0</v>
      </c>
      <c r="L190" s="98">
        <f t="shared" si="50"/>
        <v>0</v>
      </c>
      <c r="M190" s="16">
        <v>9</v>
      </c>
      <c r="N190" s="16">
        <v>5</v>
      </c>
      <c r="O190" s="16">
        <v>2</v>
      </c>
      <c r="P190" s="16">
        <v>1</v>
      </c>
      <c r="Q190" s="16">
        <v>1</v>
      </c>
      <c r="R190" s="16">
        <v>7</v>
      </c>
    </row>
    <row r="191" spans="1:18" x14ac:dyDescent="0.25">
      <c r="A191" s="71">
        <v>42243</v>
      </c>
      <c r="B191" s="20"/>
      <c r="C191" s="15" t="s">
        <v>161</v>
      </c>
      <c r="D191" s="16">
        <v>2</v>
      </c>
      <c r="E191" s="16">
        <v>8</v>
      </c>
      <c r="F191" s="98">
        <f t="shared" si="48"/>
        <v>0.25</v>
      </c>
      <c r="G191" s="16">
        <v>0</v>
      </c>
      <c r="H191" s="16">
        <v>2</v>
      </c>
      <c r="I191" s="98">
        <f t="shared" si="49"/>
        <v>0</v>
      </c>
      <c r="J191" s="16">
        <v>0</v>
      </c>
      <c r="K191" s="16">
        <v>1</v>
      </c>
      <c r="L191" s="98">
        <f t="shared" si="50"/>
        <v>0</v>
      </c>
      <c r="M191" s="16">
        <v>2</v>
      </c>
      <c r="N191" s="16">
        <v>0</v>
      </c>
      <c r="O191" s="16">
        <v>0</v>
      </c>
      <c r="P191" s="16">
        <v>0</v>
      </c>
      <c r="Q191" s="16">
        <v>0</v>
      </c>
      <c r="R191" s="16">
        <v>4</v>
      </c>
    </row>
    <row r="192" spans="1:18" x14ac:dyDescent="0.25">
      <c r="A192" s="71">
        <v>42243</v>
      </c>
      <c r="B192" s="20"/>
      <c r="C192" s="15" t="s">
        <v>159</v>
      </c>
      <c r="D192" s="16">
        <v>4</v>
      </c>
      <c r="E192" s="16">
        <v>7</v>
      </c>
      <c r="F192" s="98">
        <f t="shared" si="48"/>
        <v>0.5714285714285714</v>
      </c>
      <c r="G192" s="16">
        <v>2</v>
      </c>
      <c r="H192" s="16">
        <v>3</v>
      </c>
      <c r="I192" s="98">
        <f t="shared" si="49"/>
        <v>0.66666666666666663</v>
      </c>
      <c r="J192" s="16">
        <v>0</v>
      </c>
      <c r="K192" s="16">
        <v>0</v>
      </c>
      <c r="L192" s="98">
        <f t="shared" si="50"/>
        <v>0</v>
      </c>
      <c r="M192" s="16">
        <v>1</v>
      </c>
      <c r="N192" s="16">
        <v>1</v>
      </c>
      <c r="O192" s="16">
        <v>0</v>
      </c>
      <c r="P192" s="16">
        <v>1</v>
      </c>
      <c r="Q192" s="16">
        <v>0</v>
      </c>
      <c r="R192" s="16">
        <v>10</v>
      </c>
    </row>
    <row r="193" spans="1:18" x14ac:dyDescent="0.25">
      <c r="A193" s="71">
        <v>42244</v>
      </c>
      <c r="B193" s="20"/>
      <c r="C193" s="15" t="s">
        <v>149</v>
      </c>
      <c r="D193" s="16">
        <v>2</v>
      </c>
      <c r="E193" s="16">
        <v>2</v>
      </c>
      <c r="F193" s="98">
        <f t="shared" si="48"/>
        <v>1</v>
      </c>
      <c r="G193" s="16">
        <v>0</v>
      </c>
      <c r="H193" s="16">
        <v>0</v>
      </c>
      <c r="I193" s="98">
        <f t="shared" si="49"/>
        <v>0</v>
      </c>
      <c r="J193" s="16">
        <v>0</v>
      </c>
      <c r="K193" s="16">
        <v>0</v>
      </c>
      <c r="L193" s="98">
        <f t="shared" si="50"/>
        <v>0</v>
      </c>
      <c r="M193" s="16">
        <v>0</v>
      </c>
      <c r="N193" s="16">
        <v>0</v>
      </c>
      <c r="O193" s="16">
        <v>0</v>
      </c>
      <c r="P193" s="16">
        <v>1</v>
      </c>
      <c r="Q193" s="16">
        <v>1</v>
      </c>
      <c r="R193" s="16">
        <v>4</v>
      </c>
    </row>
    <row r="194" spans="1:18" x14ac:dyDescent="0.25">
      <c r="A194" s="71">
        <v>42244</v>
      </c>
      <c r="B194" s="20"/>
      <c r="C194" s="15" t="s">
        <v>49</v>
      </c>
      <c r="D194" s="16">
        <v>9</v>
      </c>
      <c r="E194" s="16">
        <v>20</v>
      </c>
      <c r="F194" s="98">
        <f t="shared" si="48"/>
        <v>0.45</v>
      </c>
      <c r="G194" s="16">
        <v>0</v>
      </c>
      <c r="H194" s="16">
        <v>1</v>
      </c>
      <c r="I194" s="98">
        <f t="shared" si="49"/>
        <v>0</v>
      </c>
      <c r="J194" s="16">
        <v>0</v>
      </c>
      <c r="K194" s="16">
        <v>0</v>
      </c>
      <c r="L194" s="98">
        <f t="shared" si="50"/>
        <v>0</v>
      </c>
      <c r="M194" s="16">
        <v>11</v>
      </c>
      <c r="N194" s="16">
        <v>3</v>
      </c>
      <c r="O194" s="16">
        <v>2</v>
      </c>
      <c r="P194" s="16">
        <v>2</v>
      </c>
      <c r="Q194" s="16">
        <v>0</v>
      </c>
      <c r="R194" s="16">
        <v>18</v>
      </c>
    </row>
    <row r="195" spans="1:18" x14ac:dyDescent="0.25">
      <c r="A195" s="71">
        <v>42244</v>
      </c>
      <c r="B195" s="20"/>
      <c r="C195" s="15" t="s">
        <v>140</v>
      </c>
      <c r="D195" s="16">
        <v>10</v>
      </c>
      <c r="E195" s="16">
        <v>16</v>
      </c>
      <c r="F195" s="98">
        <f t="shared" si="48"/>
        <v>0.625</v>
      </c>
      <c r="G195" s="16">
        <v>1</v>
      </c>
      <c r="H195" s="16">
        <v>4</v>
      </c>
      <c r="I195" s="98">
        <f t="shared" si="49"/>
        <v>0.25</v>
      </c>
      <c r="J195" s="16">
        <v>1</v>
      </c>
      <c r="K195" s="16">
        <v>1</v>
      </c>
      <c r="L195" s="98">
        <f t="shared" si="50"/>
        <v>1</v>
      </c>
      <c r="M195" s="16">
        <v>4</v>
      </c>
      <c r="N195" s="16">
        <v>2</v>
      </c>
      <c r="O195" s="16">
        <v>0</v>
      </c>
      <c r="P195" s="16">
        <v>1</v>
      </c>
      <c r="Q195" s="16">
        <v>1</v>
      </c>
      <c r="R195" s="16">
        <v>22</v>
      </c>
    </row>
    <row r="196" spans="1:18" x14ac:dyDescent="0.25">
      <c r="A196" s="71">
        <v>42244</v>
      </c>
      <c r="B196" s="20"/>
      <c r="C196" s="15" t="s">
        <v>48</v>
      </c>
      <c r="D196" s="16">
        <v>0</v>
      </c>
      <c r="E196" s="16">
        <v>4</v>
      </c>
      <c r="F196" s="98">
        <f t="shared" si="48"/>
        <v>0</v>
      </c>
      <c r="G196" s="16">
        <v>0</v>
      </c>
      <c r="H196" s="16">
        <v>2</v>
      </c>
      <c r="I196" s="98">
        <f t="shared" si="49"/>
        <v>0</v>
      </c>
      <c r="J196" s="16">
        <v>0</v>
      </c>
      <c r="K196" s="16">
        <v>0</v>
      </c>
      <c r="L196" s="98">
        <f t="shared" si="50"/>
        <v>0</v>
      </c>
      <c r="M196" s="16">
        <v>3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</row>
    <row r="197" spans="1:18" x14ac:dyDescent="0.25">
      <c r="A197" s="71">
        <v>42244</v>
      </c>
      <c r="B197" s="20"/>
      <c r="C197" s="15" t="s">
        <v>50</v>
      </c>
      <c r="D197" s="16">
        <v>6</v>
      </c>
      <c r="E197" s="16">
        <v>13</v>
      </c>
      <c r="F197" s="98">
        <f t="shared" si="48"/>
        <v>0.46153846153846156</v>
      </c>
      <c r="G197" s="16">
        <v>2</v>
      </c>
      <c r="H197" s="16">
        <v>6</v>
      </c>
      <c r="I197" s="98">
        <f t="shared" si="49"/>
        <v>0.33333333333333331</v>
      </c>
      <c r="J197" s="16">
        <v>14</v>
      </c>
      <c r="K197" s="16">
        <v>15</v>
      </c>
      <c r="L197" s="98">
        <f t="shared" si="50"/>
        <v>0.93333333333333335</v>
      </c>
      <c r="M197" s="16">
        <v>2</v>
      </c>
      <c r="N197" s="16">
        <v>1</v>
      </c>
      <c r="O197" s="16">
        <v>1</v>
      </c>
      <c r="P197" s="16">
        <v>2</v>
      </c>
      <c r="Q197" s="16">
        <v>0</v>
      </c>
      <c r="R197" s="16">
        <v>28</v>
      </c>
    </row>
    <row r="198" spans="1:18" x14ac:dyDescent="0.25">
      <c r="A198" s="14">
        <v>42245</v>
      </c>
      <c r="B198" s="15"/>
      <c r="C198" s="15" t="s">
        <v>161</v>
      </c>
      <c r="D198" s="16">
        <v>3</v>
      </c>
      <c r="E198" s="16">
        <v>6</v>
      </c>
      <c r="F198" s="98">
        <f t="shared" si="48"/>
        <v>0.5</v>
      </c>
      <c r="G198" s="16">
        <v>2</v>
      </c>
      <c r="H198" s="16">
        <v>4</v>
      </c>
      <c r="I198" s="98">
        <f t="shared" si="49"/>
        <v>0.5</v>
      </c>
      <c r="J198" s="16">
        <v>0</v>
      </c>
      <c r="K198" s="16">
        <v>0</v>
      </c>
      <c r="L198" s="98">
        <f t="shared" si="50"/>
        <v>0</v>
      </c>
      <c r="M198" s="16">
        <v>3</v>
      </c>
      <c r="N198" s="16">
        <v>0</v>
      </c>
      <c r="O198" s="16">
        <v>0</v>
      </c>
      <c r="P198" s="16">
        <v>1</v>
      </c>
      <c r="Q198" s="16">
        <v>1</v>
      </c>
      <c r="R198" s="16">
        <v>8</v>
      </c>
    </row>
    <row r="199" spans="1:18" x14ac:dyDescent="0.25">
      <c r="A199" s="14">
        <v>42245</v>
      </c>
      <c r="B199" s="15"/>
      <c r="C199" s="15" t="s">
        <v>159</v>
      </c>
      <c r="D199" s="16">
        <v>4</v>
      </c>
      <c r="E199" s="16">
        <v>7</v>
      </c>
      <c r="F199" s="98">
        <f t="shared" si="48"/>
        <v>0.5714285714285714</v>
      </c>
      <c r="G199" s="16">
        <v>0</v>
      </c>
      <c r="H199" s="16">
        <v>1</v>
      </c>
      <c r="I199" s="98">
        <f t="shared" si="49"/>
        <v>0</v>
      </c>
      <c r="J199" s="16">
        <v>2</v>
      </c>
      <c r="K199" s="16">
        <v>3</v>
      </c>
      <c r="L199" s="98">
        <f t="shared" si="50"/>
        <v>0.66666666666666663</v>
      </c>
      <c r="M199" s="16">
        <v>3</v>
      </c>
      <c r="N199" s="16">
        <v>0</v>
      </c>
      <c r="O199" s="16">
        <v>0</v>
      </c>
      <c r="P199" s="16">
        <v>1</v>
      </c>
      <c r="Q199" s="16">
        <v>0</v>
      </c>
      <c r="R199" s="16">
        <v>10</v>
      </c>
    </row>
    <row r="200" spans="1:18" x14ac:dyDescent="0.25">
      <c r="A200" s="14">
        <v>42245</v>
      </c>
      <c r="B200" s="15"/>
      <c r="C200" s="15" t="s">
        <v>48</v>
      </c>
      <c r="D200" s="16">
        <v>2</v>
      </c>
      <c r="E200" s="16">
        <v>6</v>
      </c>
      <c r="F200" s="98">
        <f t="shared" si="48"/>
        <v>0.33333333333333331</v>
      </c>
      <c r="G200" s="16">
        <v>0</v>
      </c>
      <c r="H200" s="16">
        <v>1</v>
      </c>
      <c r="I200" s="98">
        <f t="shared" si="49"/>
        <v>0</v>
      </c>
      <c r="J200" s="16">
        <v>0</v>
      </c>
      <c r="K200" s="16">
        <v>0</v>
      </c>
      <c r="L200" s="98">
        <f t="shared" si="50"/>
        <v>0</v>
      </c>
      <c r="M200" s="16">
        <v>0</v>
      </c>
      <c r="N200" s="16">
        <v>1</v>
      </c>
      <c r="O200" s="16">
        <v>0</v>
      </c>
      <c r="P200" s="16">
        <v>0</v>
      </c>
      <c r="Q200" s="16">
        <v>0</v>
      </c>
      <c r="R200" s="16">
        <v>4</v>
      </c>
    </row>
    <row r="201" spans="1:18" x14ac:dyDescent="0.25">
      <c r="A201" s="14">
        <v>42245</v>
      </c>
      <c r="B201" s="15"/>
      <c r="C201" s="15" t="s">
        <v>49</v>
      </c>
      <c r="D201" s="16">
        <v>7</v>
      </c>
      <c r="E201" s="16">
        <v>9</v>
      </c>
      <c r="F201" s="98">
        <f t="shared" si="48"/>
        <v>0.77777777777777779</v>
      </c>
      <c r="G201" s="16">
        <v>0</v>
      </c>
      <c r="H201" s="16">
        <v>0</v>
      </c>
      <c r="I201" s="98">
        <f t="shared" si="49"/>
        <v>0</v>
      </c>
      <c r="J201" s="16">
        <v>1</v>
      </c>
      <c r="K201" s="16">
        <v>2</v>
      </c>
      <c r="L201" s="98">
        <f t="shared" si="50"/>
        <v>0.5</v>
      </c>
      <c r="M201" s="16">
        <v>4</v>
      </c>
      <c r="N201" s="16">
        <v>5</v>
      </c>
      <c r="O201" s="16">
        <v>1</v>
      </c>
      <c r="P201" s="16">
        <v>4</v>
      </c>
      <c r="Q201" s="16">
        <v>0</v>
      </c>
      <c r="R201" s="16">
        <v>15</v>
      </c>
    </row>
    <row r="202" spans="1:18" x14ac:dyDescent="0.25">
      <c r="A202" s="14">
        <v>42245</v>
      </c>
      <c r="B202" s="15"/>
      <c r="C202" s="15" t="s">
        <v>140</v>
      </c>
      <c r="D202" s="16">
        <v>7</v>
      </c>
      <c r="E202" s="16">
        <v>13</v>
      </c>
      <c r="F202" s="98">
        <f t="shared" si="48"/>
        <v>0.53846153846153844</v>
      </c>
      <c r="G202" s="16">
        <v>0</v>
      </c>
      <c r="H202" s="16">
        <v>2</v>
      </c>
      <c r="I202" s="98">
        <f t="shared" si="49"/>
        <v>0</v>
      </c>
      <c r="J202" s="16">
        <v>4</v>
      </c>
      <c r="K202" s="16">
        <v>4</v>
      </c>
      <c r="L202" s="98">
        <f t="shared" si="50"/>
        <v>1</v>
      </c>
      <c r="M202" s="16">
        <v>1</v>
      </c>
      <c r="N202" s="16">
        <v>4</v>
      </c>
      <c r="O202" s="16">
        <v>4</v>
      </c>
      <c r="P202" s="16">
        <v>1</v>
      </c>
      <c r="Q202" s="16">
        <v>0</v>
      </c>
      <c r="R202" s="16">
        <v>18</v>
      </c>
    </row>
    <row r="203" spans="1:18" x14ac:dyDescent="0.25">
      <c r="A203" s="21">
        <v>42245</v>
      </c>
      <c r="B203" s="20"/>
      <c r="C203" s="20" t="s">
        <v>50</v>
      </c>
      <c r="D203" s="99">
        <v>3</v>
      </c>
      <c r="E203" s="99">
        <v>8</v>
      </c>
      <c r="F203" s="98">
        <f t="shared" si="48"/>
        <v>0.375</v>
      </c>
      <c r="G203" s="99">
        <v>1</v>
      </c>
      <c r="H203" s="99">
        <v>4</v>
      </c>
      <c r="I203" s="98">
        <f t="shared" si="49"/>
        <v>0.25</v>
      </c>
      <c r="J203" s="99">
        <v>1</v>
      </c>
      <c r="K203" s="99">
        <v>1</v>
      </c>
      <c r="L203" s="98">
        <f t="shared" si="50"/>
        <v>1</v>
      </c>
      <c r="M203" s="99">
        <v>2</v>
      </c>
      <c r="N203" s="99">
        <v>1</v>
      </c>
      <c r="O203" s="99">
        <v>1</v>
      </c>
      <c r="P203" s="99">
        <v>0</v>
      </c>
      <c r="Q203" s="99">
        <v>0</v>
      </c>
      <c r="R203" s="99">
        <v>8</v>
      </c>
    </row>
    <row r="204" spans="1:18" x14ac:dyDescent="0.25">
      <c r="A204" s="71">
        <v>42246</v>
      </c>
      <c r="B204" s="20"/>
      <c r="C204" s="15" t="s">
        <v>161</v>
      </c>
      <c r="D204" s="16">
        <v>3</v>
      </c>
      <c r="E204" s="16">
        <v>4</v>
      </c>
      <c r="F204" s="98">
        <f t="shared" si="48"/>
        <v>0.75</v>
      </c>
      <c r="G204" s="16">
        <v>1</v>
      </c>
      <c r="H204" s="16">
        <v>1</v>
      </c>
      <c r="I204" s="98">
        <f t="shared" si="49"/>
        <v>1</v>
      </c>
      <c r="J204" s="16">
        <v>3</v>
      </c>
      <c r="K204" s="16">
        <v>4</v>
      </c>
      <c r="L204" s="98">
        <f t="shared" si="50"/>
        <v>0.75</v>
      </c>
      <c r="M204" s="16">
        <v>2</v>
      </c>
      <c r="N204" s="16">
        <v>0</v>
      </c>
      <c r="O204" s="16">
        <v>0</v>
      </c>
      <c r="P204" s="16">
        <v>1</v>
      </c>
      <c r="Q204" s="16">
        <v>1</v>
      </c>
      <c r="R204" s="16">
        <v>10</v>
      </c>
    </row>
    <row r="205" spans="1:18" x14ac:dyDescent="0.25">
      <c r="A205" s="71">
        <v>42246</v>
      </c>
      <c r="B205" s="20"/>
      <c r="C205" s="15" t="s">
        <v>159</v>
      </c>
      <c r="D205" s="16">
        <v>0</v>
      </c>
      <c r="E205" s="16">
        <v>6</v>
      </c>
      <c r="F205" s="98">
        <f t="shared" si="48"/>
        <v>0</v>
      </c>
      <c r="G205" s="16">
        <v>0</v>
      </c>
      <c r="H205" s="16">
        <v>4</v>
      </c>
      <c r="I205" s="98">
        <f t="shared" si="49"/>
        <v>0</v>
      </c>
      <c r="J205" s="16">
        <v>0</v>
      </c>
      <c r="K205" s="16">
        <v>0</v>
      </c>
      <c r="L205" s="98">
        <f t="shared" si="50"/>
        <v>0</v>
      </c>
      <c r="M205" s="16">
        <v>1</v>
      </c>
      <c r="N205" s="16">
        <v>1</v>
      </c>
      <c r="O205" s="16">
        <v>1</v>
      </c>
      <c r="P205" s="16">
        <v>1</v>
      </c>
      <c r="Q205" s="16">
        <v>0</v>
      </c>
      <c r="R205" s="16">
        <v>0</v>
      </c>
    </row>
    <row r="206" spans="1:18" x14ac:dyDescent="0.25">
      <c r="A206" s="71">
        <v>42248</v>
      </c>
      <c r="B206" s="20"/>
      <c r="C206" s="15" t="s">
        <v>47</v>
      </c>
      <c r="D206" s="16">
        <v>1</v>
      </c>
      <c r="E206" s="16">
        <v>4</v>
      </c>
      <c r="F206" s="100">
        <f t="shared" ref="F206:F223" si="51">IF(E206=0,0,D206/E206)</f>
        <v>0.25</v>
      </c>
      <c r="G206" s="16">
        <v>0</v>
      </c>
      <c r="H206" s="16">
        <v>1</v>
      </c>
      <c r="I206" s="100">
        <f t="shared" ref="I206:I223" si="52">IF(H206=0,0,G206/H206)</f>
        <v>0</v>
      </c>
      <c r="J206" s="16">
        <v>0</v>
      </c>
      <c r="K206" s="16">
        <v>0</v>
      </c>
      <c r="L206" s="100">
        <f t="shared" ref="L206:L223" si="53">IF(K206=0,0,J206/K206)</f>
        <v>0</v>
      </c>
      <c r="M206" s="16">
        <v>3</v>
      </c>
      <c r="N206" s="16">
        <v>3</v>
      </c>
      <c r="O206" s="16">
        <v>1</v>
      </c>
      <c r="P206" s="16">
        <v>6</v>
      </c>
      <c r="Q206" s="16">
        <v>0</v>
      </c>
      <c r="R206" s="16">
        <v>2</v>
      </c>
    </row>
    <row r="207" spans="1:18" x14ac:dyDescent="0.25">
      <c r="A207" s="71">
        <v>42248</v>
      </c>
      <c r="B207" s="20"/>
      <c r="C207" s="15" t="s">
        <v>161</v>
      </c>
      <c r="D207" s="16">
        <v>3</v>
      </c>
      <c r="E207" s="16">
        <v>10</v>
      </c>
      <c r="F207" s="100">
        <f t="shared" si="51"/>
        <v>0.3</v>
      </c>
      <c r="G207" s="16">
        <v>1</v>
      </c>
      <c r="H207" s="16">
        <v>6</v>
      </c>
      <c r="I207" s="100">
        <f t="shared" si="52"/>
        <v>0.16666666666666666</v>
      </c>
      <c r="J207" s="16">
        <v>4</v>
      </c>
      <c r="K207" s="16">
        <v>6</v>
      </c>
      <c r="L207" s="100">
        <f t="shared" si="53"/>
        <v>0.66666666666666663</v>
      </c>
      <c r="M207" s="16">
        <v>4</v>
      </c>
      <c r="N207" s="16">
        <v>0</v>
      </c>
      <c r="O207" s="16">
        <v>2</v>
      </c>
      <c r="P207" s="16">
        <v>1</v>
      </c>
      <c r="Q207" s="16">
        <v>0</v>
      </c>
      <c r="R207" s="16">
        <v>11</v>
      </c>
    </row>
    <row r="208" spans="1:18" x14ac:dyDescent="0.25">
      <c r="A208" s="71">
        <v>42248</v>
      </c>
      <c r="B208" s="20"/>
      <c r="C208" s="15" t="s">
        <v>159</v>
      </c>
      <c r="D208" s="16">
        <v>2</v>
      </c>
      <c r="E208" s="16">
        <v>7</v>
      </c>
      <c r="F208" s="100">
        <f t="shared" si="51"/>
        <v>0.2857142857142857</v>
      </c>
      <c r="G208" s="16">
        <v>0</v>
      </c>
      <c r="H208" s="16">
        <v>3</v>
      </c>
      <c r="I208" s="100">
        <f t="shared" si="52"/>
        <v>0</v>
      </c>
      <c r="J208" s="16">
        <v>0</v>
      </c>
      <c r="K208" s="16">
        <v>0</v>
      </c>
      <c r="L208" s="100">
        <f t="shared" si="53"/>
        <v>0</v>
      </c>
      <c r="M208" s="16">
        <v>2</v>
      </c>
      <c r="N208" s="16">
        <v>0</v>
      </c>
      <c r="O208" s="16">
        <v>0</v>
      </c>
      <c r="P208" s="16">
        <v>0</v>
      </c>
      <c r="Q208" s="16">
        <v>0</v>
      </c>
      <c r="R208" s="16">
        <v>4</v>
      </c>
    </row>
    <row r="209" spans="1:18" x14ac:dyDescent="0.25">
      <c r="A209" s="71">
        <v>42248</v>
      </c>
      <c r="B209" s="20"/>
      <c r="C209" s="15" t="s">
        <v>50</v>
      </c>
      <c r="D209" s="16">
        <v>6</v>
      </c>
      <c r="E209" s="16">
        <v>11</v>
      </c>
      <c r="F209" s="100">
        <f t="shared" si="51"/>
        <v>0.54545454545454541</v>
      </c>
      <c r="G209" s="16">
        <v>0</v>
      </c>
      <c r="H209" s="16">
        <v>1</v>
      </c>
      <c r="I209" s="100">
        <f t="shared" si="52"/>
        <v>0</v>
      </c>
      <c r="J209" s="16">
        <v>3</v>
      </c>
      <c r="K209" s="16">
        <v>4</v>
      </c>
      <c r="L209" s="100">
        <f t="shared" si="53"/>
        <v>0.75</v>
      </c>
      <c r="M209" s="16">
        <v>4</v>
      </c>
      <c r="N209" s="16">
        <v>6</v>
      </c>
      <c r="O209" s="16">
        <v>0</v>
      </c>
      <c r="P209" s="16">
        <v>0</v>
      </c>
      <c r="Q209" s="16">
        <v>0</v>
      </c>
      <c r="R209" s="16">
        <v>15</v>
      </c>
    </row>
    <row r="210" spans="1:18" x14ac:dyDescent="0.25">
      <c r="A210" s="71">
        <v>42248</v>
      </c>
      <c r="B210" s="20"/>
      <c r="C210" s="15" t="s">
        <v>49</v>
      </c>
      <c r="D210" s="16">
        <v>6</v>
      </c>
      <c r="E210" s="16">
        <v>16</v>
      </c>
      <c r="F210" s="100">
        <f t="shared" si="51"/>
        <v>0.375</v>
      </c>
      <c r="G210" s="16">
        <v>0</v>
      </c>
      <c r="H210" s="16">
        <v>0</v>
      </c>
      <c r="I210" s="100">
        <f t="shared" si="52"/>
        <v>0</v>
      </c>
      <c r="J210" s="16">
        <v>5</v>
      </c>
      <c r="K210" s="16">
        <v>8</v>
      </c>
      <c r="L210" s="100">
        <f t="shared" si="53"/>
        <v>0.625</v>
      </c>
      <c r="M210" s="16">
        <v>5</v>
      </c>
      <c r="N210" s="16">
        <v>2</v>
      </c>
      <c r="O210" s="16">
        <v>1</v>
      </c>
      <c r="P210" s="16">
        <v>4</v>
      </c>
      <c r="Q210" s="16">
        <v>2</v>
      </c>
      <c r="R210" s="16">
        <v>17</v>
      </c>
    </row>
    <row r="211" spans="1:18" x14ac:dyDescent="0.25">
      <c r="A211" s="71">
        <v>42248</v>
      </c>
      <c r="B211" s="20"/>
      <c r="C211" s="15" t="s">
        <v>140</v>
      </c>
      <c r="D211" s="16">
        <v>4</v>
      </c>
      <c r="E211" s="16">
        <v>12</v>
      </c>
      <c r="F211" s="100">
        <f t="shared" si="51"/>
        <v>0.33333333333333331</v>
      </c>
      <c r="G211" s="16">
        <v>1</v>
      </c>
      <c r="H211" s="16">
        <v>2</v>
      </c>
      <c r="I211" s="100">
        <f t="shared" si="52"/>
        <v>0.5</v>
      </c>
      <c r="J211" s="16">
        <v>2</v>
      </c>
      <c r="K211" s="16">
        <v>3</v>
      </c>
      <c r="L211" s="100">
        <f t="shared" si="53"/>
        <v>0.66666666666666663</v>
      </c>
      <c r="M211" s="16">
        <v>3</v>
      </c>
      <c r="N211" s="16">
        <v>2</v>
      </c>
      <c r="O211" s="16">
        <v>1</v>
      </c>
      <c r="P211" s="16">
        <v>0</v>
      </c>
      <c r="Q211" s="16">
        <v>0</v>
      </c>
      <c r="R211" s="16">
        <v>11</v>
      </c>
    </row>
    <row r="212" spans="1:18" x14ac:dyDescent="0.25">
      <c r="A212" s="71">
        <v>42250</v>
      </c>
      <c r="B212" s="20"/>
      <c r="C212" s="15" t="s">
        <v>49</v>
      </c>
      <c r="D212" s="16">
        <v>8</v>
      </c>
      <c r="E212" s="16">
        <v>24</v>
      </c>
      <c r="F212" s="100">
        <f t="shared" si="51"/>
        <v>0.33333333333333331</v>
      </c>
      <c r="G212" s="16">
        <v>0</v>
      </c>
      <c r="H212" s="16">
        <v>0</v>
      </c>
      <c r="I212" s="100">
        <f t="shared" si="52"/>
        <v>0</v>
      </c>
      <c r="J212" s="16">
        <v>1</v>
      </c>
      <c r="K212" s="16">
        <v>1</v>
      </c>
      <c r="L212" s="100">
        <f t="shared" si="53"/>
        <v>1</v>
      </c>
      <c r="M212" s="16">
        <v>8</v>
      </c>
      <c r="N212" s="16">
        <v>3</v>
      </c>
      <c r="O212" s="16">
        <v>0</v>
      </c>
      <c r="P212" s="16">
        <v>2</v>
      </c>
      <c r="Q212" s="16">
        <v>0</v>
      </c>
      <c r="R212" s="16">
        <v>17</v>
      </c>
    </row>
    <row r="213" spans="1:18" x14ac:dyDescent="0.25">
      <c r="A213" s="71">
        <v>42250</v>
      </c>
      <c r="B213" s="20"/>
      <c r="C213" s="15" t="s">
        <v>140</v>
      </c>
      <c r="D213" s="16">
        <v>5</v>
      </c>
      <c r="E213" s="16">
        <v>7</v>
      </c>
      <c r="F213" s="100">
        <f t="shared" si="51"/>
        <v>0.7142857142857143</v>
      </c>
      <c r="G213" s="16">
        <v>0</v>
      </c>
      <c r="H213" s="16">
        <v>0</v>
      </c>
      <c r="I213" s="100">
        <f t="shared" si="52"/>
        <v>0</v>
      </c>
      <c r="J213" s="16">
        <v>0</v>
      </c>
      <c r="K213" s="16">
        <v>0</v>
      </c>
      <c r="L213" s="100">
        <f t="shared" si="53"/>
        <v>0</v>
      </c>
      <c r="M213" s="16">
        <v>3</v>
      </c>
      <c r="N213" s="16">
        <v>2</v>
      </c>
      <c r="O213" s="16">
        <v>1</v>
      </c>
      <c r="P213" s="16">
        <v>0</v>
      </c>
      <c r="Q213" s="16">
        <v>0</v>
      </c>
      <c r="R213" s="16">
        <v>10</v>
      </c>
    </row>
    <row r="214" spans="1:18" x14ac:dyDescent="0.25">
      <c r="A214" s="71">
        <v>42250</v>
      </c>
      <c r="B214" s="20"/>
      <c r="C214" s="15" t="s">
        <v>48</v>
      </c>
      <c r="D214" s="16">
        <v>1</v>
      </c>
      <c r="E214" s="16">
        <v>3</v>
      </c>
      <c r="F214" s="100">
        <f t="shared" si="51"/>
        <v>0.33333333333333331</v>
      </c>
      <c r="G214" s="16">
        <v>0</v>
      </c>
      <c r="H214" s="16">
        <v>1</v>
      </c>
      <c r="I214" s="100">
        <f t="shared" si="52"/>
        <v>0</v>
      </c>
      <c r="J214" s="16">
        <v>2</v>
      </c>
      <c r="K214" s="16">
        <v>4</v>
      </c>
      <c r="L214" s="100">
        <f t="shared" si="53"/>
        <v>0.5</v>
      </c>
      <c r="M214" s="16">
        <v>8</v>
      </c>
      <c r="N214" s="16">
        <v>0</v>
      </c>
      <c r="O214" s="16">
        <v>0</v>
      </c>
      <c r="P214" s="16">
        <v>3</v>
      </c>
      <c r="Q214" s="16">
        <v>0</v>
      </c>
      <c r="R214" s="16">
        <v>4</v>
      </c>
    </row>
    <row r="215" spans="1:18" x14ac:dyDescent="0.25">
      <c r="A215" s="71">
        <v>42250</v>
      </c>
      <c r="B215" s="20"/>
      <c r="C215" s="15" t="s">
        <v>149</v>
      </c>
      <c r="D215" s="16">
        <v>1</v>
      </c>
      <c r="E215" s="16">
        <v>3</v>
      </c>
      <c r="F215" s="100">
        <f t="shared" si="51"/>
        <v>0.33333333333333331</v>
      </c>
      <c r="G215" s="16">
        <v>0</v>
      </c>
      <c r="H215" s="16">
        <v>0</v>
      </c>
      <c r="I215" s="100">
        <f t="shared" si="52"/>
        <v>0</v>
      </c>
      <c r="J215" s="16">
        <v>2</v>
      </c>
      <c r="K215" s="16">
        <v>2</v>
      </c>
      <c r="L215" s="100">
        <f t="shared" si="53"/>
        <v>1</v>
      </c>
      <c r="M215" s="16">
        <v>2</v>
      </c>
      <c r="N215" s="16">
        <v>0</v>
      </c>
      <c r="O215" s="16">
        <v>0</v>
      </c>
      <c r="P215" s="16">
        <v>4</v>
      </c>
      <c r="Q215" s="16">
        <v>0</v>
      </c>
      <c r="R215" s="16">
        <v>4</v>
      </c>
    </row>
    <row r="216" spans="1:18" x14ac:dyDescent="0.25">
      <c r="A216" s="71">
        <v>42251</v>
      </c>
      <c r="B216" s="20"/>
      <c r="C216" s="15" t="s">
        <v>159</v>
      </c>
      <c r="D216" s="16">
        <v>2</v>
      </c>
      <c r="E216" s="16">
        <v>5</v>
      </c>
      <c r="F216" s="100">
        <f t="shared" si="51"/>
        <v>0.4</v>
      </c>
      <c r="G216" s="16">
        <v>1</v>
      </c>
      <c r="H216" s="16">
        <v>3</v>
      </c>
      <c r="I216" s="100">
        <f t="shared" si="52"/>
        <v>0.33333333333333331</v>
      </c>
      <c r="J216" s="16">
        <v>0</v>
      </c>
      <c r="K216" s="16">
        <v>0</v>
      </c>
      <c r="L216" s="100">
        <f t="shared" si="53"/>
        <v>0</v>
      </c>
      <c r="M216" s="16">
        <v>3</v>
      </c>
      <c r="N216" s="16">
        <v>1</v>
      </c>
      <c r="O216" s="16">
        <v>1</v>
      </c>
      <c r="P216" s="16">
        <v>0</v>
      </c>
      <c r="Q216" s="16">
        <v>0</v>
      </c>
      <c r="R216" s="16">
        <v>5</v>
      </c>
    </row>
    <row r="217" spans="1:18" x14ac:dyDescent="0.25">
      <c r="A217" s="71">
        <v>42251</v>
      </c>
      <c r="B217" s="20"/>
      <c r="C217" s="15" t="s">
        <v>47</v>
      </c>
      <c r="D217" s="16">
        <v>6</v>
      </c>
      <c r="E217" s="16">
        <v>9</v>
      </c>
      <c r="F217" s="100">
        <f t="shared" si="51"/>
        <v>0.66666666666666663</v>
      </c>
      <c r="G217" s="16">
        <v>1</v>
      </c>
      <c r="H217" s="16">
        <v>1</v>
      </c>
      <c r="I217" s="100">
        <f t="shared" si="52"/>
        <v>1</v>
      </c>
      <c r="J217" s="16">
        <v>1</v>
      </c>
      <c r="K217" s="16">
        <v>1</v>
      </c>
      <c r="L217" s="100">
        <f t="shared" si="53"/>
        <v>1</v>
      </c>
      <c r="M217" s="16">
        <v>4</v>
      </c>
      <c r="N217" s="16">
        <v>4</v>
      </c>
      <c r="O217" s="16">
        <v>0</v>
      </c>
      <c r="P217" s="16">
        <v>2</v>
      </c>
      <c r="Q217" s="16">
        <v>2</v>
      </c>
      <c r="R217" s="16">
        <v>14</v>
      </c>
    </row>
    <row r="218" spans="1:18" x14ac:dyDescent="0.25">
      <c r="A218" s="71">
        <v>42251</v>
      </c>
      <c r="B218" s="20"/>
      <c r="C218" s="15" t="s">
        <v>161</v>
      </c>
      <c r="D218" s="16">
        <v>2</v>
      </c>
      <c r="E218" s="16">
        <v>4</v>
      </c>
      <c r="F218" s="100">
        <f t="shared" si="51"/>
        <v>0.5</v>
      </c>
      <c r="G218" s="16">
        <v>0</v>
      </c>
      <c r="H218" s="16">
        <v>1</v>
      </c>
      <c r="I218" s="100">
        <f t="shared" si="52"/>
        <v>0</v>
      </c>
      <c r="J218" s="16">
        <v>1</v>
      </c>
      <c r="K218" s="16">
        <v>2</v>
      </c>
      <c r="L218" s="100">
        <f t="shared" si="53"/>
        <v>0.5</v>
      </c>
      <c r="M218" s="16">
        <v>1</v>
      </c>
      <c r="N218" s="16">
        <v>0</v>
      </c>
      <c r="O218" s="16">
        <v>0</v>
      </c>
      <c r="P218" s="16">
        <v>0</v>
      </c>
      <c r="Q218" s="16">
        <v>1</v>
      </c>
      <c r="R218" s="16">
        <v>5</v>
      </c>
    </row>
    <row r="219" spans="1:18" x14ac:dyDescent="0.25">
      <c r="A219" s="71">
        <v>42253</v>
      </c>
      <c r="B219" s="20"/>
      <c r="C219" s="15" t="s">
        <v>134</v>
      </c>
      <c r="D219" s="16">
        <v>0</v>
      </c>
      <c r="E219" s="16">
        <v>2</v>
      </c>
      <c r="F219" s="101">
        <f t="shared" si="51"/>
        <v>0</v>
      </c>
      <c r="G219" s="16">
        <v>0</v>
      </c>
      <c r="H219" s="16">
        <v>2</v>
      </c>
      <c r="I219" s="101">
        <f t="shared" si="52"/>
        <v>0</v>
      </c>
      <c r="J219" s="16">
        <v>1</v>
      </c>
      <c r="K219" s="16">
        <v>4</v>
      </c>
      <c r="L219" s="101">
        <f t="shared" si="53"/>
        <v>0.25</v>
      </c>
      <c r="M219" s="16">
        <v>2</v>
      </c>
      <c r="N219" s="16">
        <v>1</v>
      </c>
      <c r="O219" s="16">
        <v>2</v>
      </c>
      <c r="P219" s="16">
        <v>2</v>
      </c>
      <c r="Q219" s="16">
        <v>0</v>
      </c>
      <c r="R219" s="16">
        <v>1</v>
      </c>
    </row>
    <row r="220" spans="1:18" x14ac:dyDescent="0.25">
      <c r="A220" s="71">
        <v>42253</v>
      </c>
      <c r="B220" s="20"/>
      <c r="C220" s="15" t="s">
        <v>49</v>
      </c>
      <c r="D220" s="16">
        <v>8</v>
      </c>
      <c r="E220" s="16">
        <v>19</v>
      </c>
      <c r="F220" s="101">
        <f t="shared" si="51"/>
        <v>0.42105263157894735</v>
      </c>
      <c r="G220" s="16">
        <v>1</v>
      </c>
      <c r="H220" s="16">
        <v>1</v>
      </c>
      <c r="I220" s="101">
        <f t="shared" si="52"/>
        <v>1</v>
      </c>
      <c r="J220" s="16">
        <v>1</v>
      </c>
      <c r="K220" s="16">
        <v>3</v>
      </c>
      <c r="L220" s="101">
        <f t="shared" si="53"/>
        <v>0.33333333333333331</v>
      </c>
      <c r="M220" s="16">
        <v>14</v>
      </c>
      <c r="N220" s="16">
        <v>0</v>
      </c>
      <c r="O220" s="16">
        <v>2</v>
      </c>
      <c r="P220" s="16">
        <v>2</v>
      </c>
      <c r="Q220" s="16">
        <v>3</v>
      </c>
      <c r="R220" s="16">
        <v>18</v>
      </c>
    </row>
    <row r="221" spans="1:18" x14ac:dyDescent="0.25">
      <c r="A221" s="71">
        <v>42253</v>
      </c>
      <c r="B221" s="20"/>
      <c r="C221" s="15" t="s">
        <v>140</v>
      </c>
      <c r="D221" s="16">
        <v>8</v>
      </c>
      <c r="E221" s="16">
        <v>14</v>
      </c>
      <c r="F221" s="101">
        <f t="shared" si="51"/>
        <v>0.5714285714285714</v>
      </c>
      <c r="G221" s="16">
        <v>1</v>
      </c>
      <c r="H221" s="16">
        <v>2</v>
      </c>
      <c r="I221" s="101">
        <f t="shared" si="52"/>
        <v>0.5</v>
      </c>
      <c r="J221" s="16">
        <v>1</v>
      </c>
      <c r="K221" s="16">
        <v>1</v>
      </c>
      <c r="L221" s="101">
        <f t="shared" si="53"/>
        <v>1</v>
      </c>
      <c r="M221" s="16">
        <v>3</v>
      </c>
      <c r="N221" s="16">
        <v>6</v>
      </c>
      <c r="O221" s="16">
        <v>1</v>
      </c>
      <c r="P221" s="16">
        <v>1</v>
      </c>
      <c r="Q221" s="16">
        <v>0</v>
      </c>
      <c r="R221" s="16">
        <v>18</v>
      </c>
    </row>
    <row r="222" spans="1:18" x14ac:dyDescent="0.25">
      <c r="A222" s="71">
        <v>42253</v>
      </c>
      <c r="B222" s="20"/>
      <c r="C222" s="15" t="s">
        <v>48</v>
      </c>
      <c r="D222" s="16">
        <v>1</v>
      </c>
      <c r="E222" s="16">
        <v>6</v>
      </c>
      <c r="F222" s="101">
        <f t="shared" si="51"/>
        <v>0.16666666666666666</v>
      </c>
      <c r="G222" s="16">
        <v>1</v>
      </c>
      <c r="H222" s="16">
        <v>4</v>
      </c>
      <c r="I222" s="101">
        <f t="shared" si="52"/>
        <v>0.25</v>
      </c>
      <c r="J222" s="16">
        <v>0</v>
      </c>
      <c r="K222" s="16">
        <v>0</v>
      </c>
      <c r="L222" s="101">
        <f t="shared" si="53"/>
        <v>0</v>
      </c>
      <c r="M222" s="16">
        <v>0</v>
      </c>
      <c r="N222" s="16">
        <v>0</v>
      </c>
      <c r="O222" s="16">
        <v>0</v>
      </c>
      <c r="P222" s="16">
        <v>1</v>
      </c>
      <c r="Q222" s="16">
        <v>1</v>
      </c>
      <c r="R222" s="16">
        <v>3</v>
      </c>
    </row>
    <row r="223" spans="1:18" x14ac:dyDescent="0.25">
      <c r="A223" s="71">
        <v>42253</v>
      </c>
      <c r="B223" s="20"/>
      <c r="C223" s="15" t="s">
        <v>50</v>
      </c>
      <c r="D223" s="16">
        <v>6</v>
      </c>
      <c r="E223" s="16">
        <v>11</v>
      </c>
      <c r="F223" s="101">
        <f t="shared" si="51"/>
        <v>0.54545454545454541</v>
      </c>
      <c r="G223" s="16">
        <v>4</v>
      </c>
      <c r="H223" s="16">
        <v>7</v>
      </c>
      <c r="I223" s="101">
        <f t="shared" si="52"/>
        <v>0.5714285714285714</v>
      </c>
      <c r="J223" s="16">
        <v>3</v>
      </c>
      <c r="K223" s="16">
        <v>4</v>
      </c>
      <c r="L223" s="101">
        <f t="shared" si="53"/>
        <v>0.75</v>
      </c>
      <c r="M223" s="16">
        <v>2</v>
      </c>
      <c r="N223" s="16">
        <v>2</v>
      </c>
      <c r="O223" s="16">
        <v>2</v>
      </c>
      <c r="P223" s="16">
        <v>0</v>
      </c>
      <c r="Q223" s="16">
        <v>0</v>
      </c>
      <c r="R223" s="16">
        <v>19</v>
      </c>
    </row>
    <row r="224" spans="1:18" x14ac:dyDescent="0.25">
      <c r="A224" s="21">
        <v>42255</v>
      </c>
      <c r="B224" s="20"/>
      <c r="C224" s="15" t="s">
        <v>134</v>
      </c>
      <c r="D224" s="16">
        <v>1</v>
      </c>
      <c r="E224" s="16">
        <v>3</v>
      </c>
      <c r="F224" s="109">
        <f>IF(E224=0,0,D224/E224)</f>
        <v>0.33333333333333331</v>
      </c>
      <c r="G224" s="16">
        <v>1</v>
      </c>
      <c r="H224" s="16">
        <v>1</v>
      </c>
      <c r="I224" s="109">
        <f>IF(H224=0,0,G224/H224)</f>
        <v>1</v>
      </c>
      <c r="J224" s="16">
        <v>2</v>
      </c>
      <c r="K224" s="16">
        <v>2</v>
      </c>
      <c r="L224" s="109">
        <f>IF(K224=0,0,J224/K224)</f>
        <v>1</v>
      </c>
      <c r="M224" s="16">
        <v>0</v>
      </c>
      <c r="N224" s="16">
        <v>2</v>
      </c>
      <c r="O224" s="16">
        <v>1</v>
      </c>
      <c r="P224" s="16">
        <v>0</v>
      </c>
      <c r="Q224" s="16">
        <v>0</v>
      </c>
      <c r="R224" s="16">
        <v>5</v>
      </c>
    </row>
    <row r="225" spans="1:18" x14ac:dyDescent="0.25">
      <c r="A225" s="21">
        <v>42256</v>
      </c>
      <c r="B225" s="20"/>
      <c r="C225" s="15" t="s">
        <v>49</v>
      </c>
      <c r="D225" s="16">
        <v>7</v>
      </c>
      <c r="E225" s="16">
        <v>15</v>
      </c>
      <c r="F225" s="109">
        <f t="shared" ref="F225:F230" si="54">IF(E225=0,0,D225/E225)</f>
        <v>0.46666666666666667</v>
      </c>
      <c r="G225" s="16">
        <v>0</v>
      </c>
      <c r="H225" s="16">
        <v>1</v>
      </c>
      <c r="I225" s="109">
        <f t="shared" ref="I225:I230" si="55">IF(H225=0,0,G225/H225)</f>
        <v>0</v>
      </c>
      <c r="J225" s="16">
        <v>2</v>
      </c>
      <c r="K225" s="16">
        <v>3</v>
      </c>
      <c r="L225" s="109">
        <f t="shared" ref="L225:L230" si="56">IF(K225=0,0,J225/K225)</f>
        <v>0.66666666666666663</v>
      </c>
      <c r="M225" s="16">
        <v>13</v>
      </c>
      <c r="N225" s="16">
        <v>2</v>
      </c>
      <c r="O225" s="16">
        <v>0</v>
      </c>
      <c r="P225" s="16">
        <v>3</v>
      </c>
      <c r="Q225" s="16">
        <v>0</v>
      </c>
      <c r="R225" s="16">
        <v>16</v>
      </c>
    </row>
    <row r="226" spans="1:18" x14ac:dyDescent="0.25">
      <c r="A226" s="21">
        <v>42256</v>
      </c>
      <c r="B226" s="20"/>
      <c r="C226" s="15" t="s">
        <v>110</v>
      </c>
      <c r="D226" s="16">
        <v>1</v>
      </c>
      <c r="E226" s="16">
        <v>2</v>
      </c>
      <c r="F226" s="109">
        <f t="shared" si="54"/>
        <v>0.5</v>
      </c>
      <c r="G226" s="16">
        <v>1</v>
      </c>
      <c r="H226" s="16">
        <v>1</v>
      </c>
      <c r="I226" s="109">
        <f t="shared" si="55"/>
        <v>1</v>
      </c>
      <c r="J226" s="16">
        <v>0</v>
      </c>
      <c r="K226" s="16">
        <v>2</v>
      </c>
      <c r="L226" s="109">
        <f t="shared" si="56"/>
        <v>0</v>
      </c>
      <c r="M226" s="16">
        <v>1</v>
      </c>
      <c r="N226" s="16">
        <v>2</v>
      </c>
      <c r="O226" s="16">
        <v>0</v>
      </c>
      <c r="P226" s="16">
        <v>2</v>
      </c>
      <c r="Q226" s="16">
        <v>0</v>
      </c>
      <c r="R226" s="16">
        <v>3</v>
      </c>
    </row>
    <row r="227" spans="1:18" x14ac:dyDescent="0.25">
      <c r="A227" s="21">
        <v>42256</v>
      </c>
      <c r="B227" s="20"/>
      <c r="C227" s="15" t="s">
        <v>140</v>
      </c>
      <c r="D227" s="16">
        <v>10</v>
      </c>
      <c r="E227" s="16">
        <v>15</v>
      </c>
      <c r="F227" s="109">
        <f t="shared" si="54"/>
        <v>0.66666666666666663</v>
      </c>
      <c r="G227" s="16">
        <v>3</v>
      </c>
      <c r="H227" s="16">
        <v>4</v>
      </c>
      <c r="I227" s="109">
        <f t="shared" si="55"/>
        <v>0.75</v>
      </c>
      <c r="J227" s="16">
        <v>2</v>
      </c>
      <c r="K227" s="16">
        <v>2</v>
      </c>
      <c r="L227" s="109">
        <f t="shared" si="56"/>
        <v>1</v>
      </c>
      <c r="M227" s="16">
        <v>7</v>
      </c>
      <c r="N227" s="16">
        <v>5</v>
      </c>
      <c r="O227" s="16">
        <v>4</v>
      </c>
      <c r="P227" s="16">
        <v>1</v>
      </c>
      <c r="Q227" s="16">
        <v>0</v>
      </c>
      <c r="R227" s="16">
        <v>25</v>
      </c>
    </row>
    <row r="228" spans="1:18" x14ac:dyDescent="0.25">
      <c r="A228" s="21">
        <v>42256</v>
      </c>
      <c r="B228" s="20"/>
      <c r="C228" s="15" t="s">
        <v>48</v>
      </c>
      <c r="D228" s="16">
        <v>2</v>
      </c>
      <c r="E228" s="16">
        <v>6</v>
      </c>
      <c r="F228" s="109">
        <f t="shared" si="54"/>
        <v>0.33333333333333331</v>
      </c>
      <c r="G228" s="16">
        <v>1</v>
      </c>
      <c r="H228" s="16">
        <v>2</v>
      </c>
      <c r="I228" s="109">
        <f t="shared" si="55"/>
        <v>0.5</v>
      </c>
      <c r="J228" s="16">
        <v>2</v>
      </c>
      <c r="K228" s="16">
        <v>2</v>
      </c>
      <c r="L228" s="109">
        <f t="shared" si="56"/>
        <v>1</v>
      </c>
      <c r="M228" s="16">
        <v>3</v>
      </c>
      <c r="N228" s="16">
        <v>0</v>
      </c>
      <c r="O228" s="16">
        <v>0</v>
      </c>
      <c r="P228" s="16">
        <v>0</v>
      </c>
      <c r="Q228" s="16">
        <v>0</v>
      </c>
      <c r="R228" s="16">
        <v>7</v>
      </c>
    </row>
    <row r="229" spans="1:18" x14ac:dyDescent="0.25">
      <c r="A229" s="21">
        <v>42256</v>
      </c>
      <c r="B229" s="20"/>
      <c r="C229" s="15" t="s">
        <v>62</v>
      </c>
      <c r="D229" s="16">
        <v>0</v>
      </c>
      <c r="E229" s="16">
        <v>0</v>
      </c>
      <c r="F229" s="109">
        <f t="shared" si="54"/>
        <v>0</v>
      </c>
      <c r="G229" s="16">
        <v>0</v>
      </c>
      <c r="H229" s="16">
        <v>0</v>
      </c>
      <c r="I229" s="109">
        <f t="shared" si="55"/>
        <v>0</v>
      </c>
      <c r="J229" s="16">
        <v>0</v>
      </c>
      <c r="K229" s="16">
        <v>0</v>
      </c>
      <c r="L229" s="109">
        <f t="shared" si="56"/>
        <v>0</v>
      </c>
      <c r="M229" s="16">
        <v>2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</row>
    <row r="230" spans="1:18" x14ac:dyDescent="0.25">
      <c r="A230" s="21">
        <v>42256</v>
      </c>
      <c r="B230" s="20"/>
      <c r="C230" s="15" t="s">
        <v>123</v>
      </c>
      <c r="D230" s="16">
        <v>0</v>
      </c>
      <c r="E230" s="16">
        <v>1</v>
      </c>
      <c r="F230" s="109">
        <f t="shared" si="54"/>
        <v>0</v>
      </c>
      <c r="G230" s="16">
        <v>0</v>
      </c>
      <c r="H230" s="16">
        <v>0</v>
      </c>
      <c r="I230" s="109">
        <f t="shared" si="55"/>
        <v>0</v>
      </c>
      <c r="J230" s="16">
        <v>0</v>
      </c>
      <c r="K230" s="16">
        <v>0</v>
      </c>
      <c r="L230" s="109">
        <f t="shared" si="56"/>
        <v>0</v>
      </c>
      <c r="M230" s="16">
        <v>0</v>
      </c>
      <c r="N230" s="16">
        <v>0</v>
      </c>
      <c r="O230" s="16">
        <v>0</v>
      </c>
      <c r="P230" s="16">
        <v>1</v>
      </c>
      <c r="Q230" s="16">
        <v>0</v>
      </c>
      <c r="R230" s="16">
        <v>0</v>
      </c>
    </row>
    <row r="231" spans="1:18" x14ac:dyDescent="0.25">
      <c r="A231" s="21">
        <v>42258</v>
      </c>
      <c r="B231" s="20"/>
      <c r="C231" s="15" t="s">
        <v>49</v>
      </c>
      <c r="D231" s="16">
        <v>1</v>
      </c>
      <c r="E231" s="16">
        <v>6</v>
      </c>
      <c r="F231" s="121">
        <f t="shared" ref="F231:F242" si="57">IF(E231=0,0,D231/E231)</f>
        <v>0.16666666666666666</v>
      </c>
      <c r="G231" s="16">
        <v>0</v>
      </c>
      <c r="H231" s="16">
        <v>0</v>
      </c>
      <c r="I231" s="121">
        <f t="shared" ref="I231:I242" si="58">IF(H231=0,0,G231/H231)</f>
        <v>0</v>
      </c>
      <c r="J231" s="16">
        <v>0</v>
      </c>
      <c r="K231" s="16">
        <v>0</v>
      </c>
      <c r="L231" s="121">
        <f t="shared" ref="L231:L242" si="59">IF(K231=0,0,J231/K231)</f>
        <v>0</v>
      </c>
      <c r="M231" s="16">
        <v>2</v>
      </c>
      <c r="N231" s="16">
        <v>2</v>
      </c>
      <c r="O231" s="16">
        <v>0</v>
      </c>
      <c r="P231" s="16">
        <v>1</v>
      </c>
      <c r="Q231" s="16">
        <v>0</v>
      </c>
      <c r="R231" s="16">
        <v>2</v>
      </c>
    </row>
    <row r="232" spans="1:18" x14ac:dyDescent="0.25">
      <c r="A232" s="21">
        <v>42258</v>
      </c>
      <c r="B232" s="20"/>
      <c r="C232" s="15" t="s">
        <v>110</v>
      </c>
      <c r="D232" s="16">
        <v>1</v>
      </c>
      <c r="E232" s="16">
        <v>5</v>
      </c>
      <c r="F232" s="121">
        <f t="shared" si="57"/>
        <v>0.2</v>
      </c>
      <c r="G232" s="16">
        <v>0</v>
      </c>
      <c r="H232" s="16">
        <v>2</v>
      </c>
      <c r="I232" s="121">
        <f t="shared" si="58"/>
        <v>0</v>
      </c>
      <c r="J232" s="16">
        <v>0</v>
      </c>
      <c r="K232" s="16">
        <v>0</v>
      </c>
      <c r="L232" s="121">
        <f t="shared" si="59"/>
        <v>0</v>
      </c>
      <c r="M232" s="16">
        <v>6</v>
      </c>
      <c r="N232" s="16">
        <v>0</v>
      </c>
      <c r="O232" s="16">
        <v>1</v>
      </c>
      <c r="P232" s="16">
        <v>1</v>
      </c>
      <c r="Q232" s="16">
        <v>1</v>
      </c>
      <c r="R232" s="16">
        <v>2</v>
      </c>
    </row>
    <row r="233" spans="1:18" x14ac:dyDescent="0.25">
      <c r="A233" s="21">
        <v>42258</v>
      </c>
      <c r="B233" s="20"/>
      <c r="C233" s="15" t="s">
        <v>140</v>
      </c>
      <c r="D233" s="16">
        <v>3</v>
      </c>
      <c r="E233" s="16">
        <v>9</v>
      </c>
      <c r="F233" s="121">
        <f t="shared" si="57"/>
        <v>0.33333333333333331</v>
      </c>
      <c r="G233" s="16">
        <v>2</v>
      </c>
      <c r="H233" s="16">
        <v>4</v>
      </c>
      <c r="I233" s="121">
        <f t="shared" si="58"/>
        <v>0.5</v>
      </c>
      <c r="J233" s="16">
        <v>1</v>
      </c>
      <c r="K233" s="16">
        <v>1</v>
      </c>
      <c r="L233" s="121">
        <f t="shared" si="59"/>
        <v>1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9</v>
      </c>
    </row>
    <row r="234" spans="1:18" x14ac:dyDescent="0.25">
      <c r="A234" s="21">
        <v>42258</v>
      </c>
      <c r="B234" s="20"/>
      <c r="C234" s="15" t="s">
        <v>48</v>
      </c>
      <c r="D234" s="16">
        <v>2</v>
      </c>
      <c r="E234" s="16">
        <v>7</v>
      </c>
      <c r="F234" s="121">
        <f t="shared" si="57"/>
        <v>0.2857142857142857</v>
      </c>
      <c r="G234" s="16">
        <v>0</v>
      </c>
      <c r="H234" s="16">
        <v>1</v>
      </c>
      <c r="I234" s="121">
        <f t="shared" si="58"/>
        <v>0</v>
      </c>
      <c r="J234" s="16">
        <v>2</v>
      </c>
      <c r="K234" s="16">
        <v>2</v>
      </c>
      <c r="L234" s="121">
        <f t="shared" si="59"/>
        <v>1</v>
      </c>
      <c r="M234" s="16">
        <v>1</v>
      </c>
      <c r="N234" s="16">
        <v>1</v>
      </c>
      <c r="O234" s="16">
        <v>0</v>
      </c>
      <c r="P234" s="16">
        <v>3</v>
      </c>
      <c r="Q234" s="16">
        <v>0</v>
      </c>
      <c r="R234" s="16">
        <v>6</v>
      </c>
    </row>
    <row r="235" spans="1:18" x14ac:dyDescent="0.25">
      <c r="A235" s="21">
        <v>42258</v>
      </c>
      <c r="B235" s="20"/>
      <c r="C235" s="15" t="s">
        <v>123</v>
      </c>
      <c r="D235" s="16">
        <v>1</v>
      </c>
      <c r="E235" s="16">
        <v>7</v>
      </c>
      <c r="F235" s="121">
        <f t="shared" si="57"/>
        <v>0.14285714285714285</v>
      </c>
      <c r="G235" s="16">
        <v>0</v>
      </c>
      <c r="H235" s="16">
        <v>2</v>
      </c>
      <c r="I235" s="121">
        <f t="shared" si="58"/>
        <v>0</v>
      </c>
      <c r="J235" s="16">
        <v>0</v>
      </c>
      <c r="K235" s="16">
        <v>0</v>
      </c>
      <c r="L235" s="121">
        <f t="shared" si="59"/>
        <v>0</v>
      </c>
      <c r="M235" s="16">
        <v>1</v>
      </c>
      <c r="N235" s="16">
        <v>2</v>
      </c>
      <c r="O235" s="16">
        <v>0</v>
      </c>
      <c r="P235" s="16">
        <v>0</v>
      </c>
      <c r="Q235" s="16">
        <v>0</v>
      </c>
      <c r="R235" s="16">
        <v>2</v>
      </c>
    </row>
    <row r="236" spans="1:18" x14ac:dyDescent="0.25">
      <c r="A236" s="21">
        <v>42258</v>
      </c>
      <c r="B236" s="20"/>
      <c r="C236" s="15" t="s">
        <v>62</v>
      </c>
      <c r="D236" s="16">
        <v>3</v>
      </c>
      <c r="E236" s="16">
        <v>4</v>
      </c>
      <c r="F236" s="121">
        <f t="shared" si="57"/>
        <v>0.75</v>
      </c>
      <c r="G236" s="16">
        <v>1</v>
      </c>
      <c r="H236" s="16">
        <v>2</v>
      </c>
      <c r="I236" s="121">
        <f t="shared" si="58"/>
        <v>0.5</v>
      </c>
      <c r="J236" s="16">
        <v>1</v>
      </c>
      <c r="K236" s="16">
        <v>1</v>
      </c>
      <c r="L236" s="121">
        <f t="shared" si="59"/>
        <v>1</v>
      </c>
      <c r="M236" s="16">
        <v>2</v>
      </c>
      <c r="N236" s="16">
        <v>1</v>
      </c>
      <c r="O236" s="16">
        <v>0</v>
      </c>
      <c r="P236" s="16">
        <v>2</v>
      </c>
      <c r="Q236" s="16">
        <v>0</v>
      </c>
      <c r="R236" s="16">
        <v>8</v>
      </c>
    </row>
    <row r="237" spans="1:18" x14ac:dyDescent="0.25">
      <c r="A237" s="73">
        <v>42260</v>
      </c>
      <c r="B237" s="20"/>
      <c r="C237" s="15" t="s">
        <v>110</v>
      </c>
      <c r="D237" s="16">
        <v>3</v>
      </c>
      <c r="E237" s="16">
        <v>5</v>
      </c>
      <c r="F237" s="121">
        <f t="shared" si="57"/>
        <v>0.6</v>
      </c>
      <c r="G237" s="16">
        <v>0</v>
      </c>
      <c r="H237" s="16">
        <v>1</v>
      </c>
      <c r="I237" s="121">
        <f t="shared" si="58"/>
        <v>0</v>
      </c>
      <c r="J237" s="16">
        <v>5</v>
      </c>
      <c r="K237" s="16">
        <v>5</v>
      </c>
      <c r="L237" s="121">
        <f t="shared" si="59"/>
        <v>1</v>
      </c>
      <c r="M237" s="16">
        <v>3</v>
      </c>
      <c r="N237" s="16">
        <v>0</v>
      </c>
      <c r="O237" s="16">
        <v>0</v>
      </c>
      <c r="P237" s="16">
        <v>1</v>
      </c>
      <c r="Q237" s="16">
        <v>0</v>
      </c>
      <c r="R237" s="16">
        <v>11</v>
      </c>
    </row>
    <row r="238" spans="1:18" x14ac:dyDescent="0.25">
      <c r="A238" s="73">
        <v>42260</v>
      </c>
      <c r="B238" s="20"/>
      <c r="C238" s="15" t="s">
        <v>49</v>
      </c>
      <c r="D238" s="16">
        <v>5</v>
      </c>
      <c r="E238" s="16">
        <v>10</v>
      </c>
      <c r="F238" s="121">
        <f t="shared" si="57"/>
        <v>0.5</v>
      </c>
      <c r="G238" s="16">
        <v>0</v>
      </c>
      <c r="H238" s="16">
        <v>0</v>
      </c>
      <c r="I238" s="121">
        <f t="shared" si="58"/>
        <v>0</v>
      </c>
      <c r="J238" s="16">
        <v>1</v>
      </c>
      <c r="K238" s="16">
        <v>2</v>
      </c>
      <c r="L238" s="121">
        <f t="shared" si="59"/>
        <v>0.5</v>
      </c>
      <c r="M238" s="16">
        <v>5</v>
      </c>
      <c r="N238" s="16">
        <v>4</v>
      </c>
      <c r="O238" s="16">
        <v>0</v>
      </c>
      <c r="P238" s="16">
        <v>1</v>
      </c>
      <c r="Q238" s="16">
        <v>2</v>
      </c>
      <c r="R238" s="16">
        <v>11</v>
      </c>
    </row>
    <row r="239" spans="1:18" x14ac:dyDescent="0.25">
      <c r="A239" s="73">
        <v>42260</v>
      </c>
      <c r="B239" s="20"/>
      <c r="C239" s="15" t="s">
        <v>140</v>
      </c>
      <c r="D239" s="16">
        <v>1</v>
      </c>
      <c r="E239" s="16">
        <v>8</v>
      </c>
      <c r="F239" s="121">
        <f t="shared" si="57"/>
        <v>0.125</v>
      </c>
      <c r="G239" s="16">
        <v>1</v>
      </c>
      <c r="H239" s="16">
        <v>4</v>
      </c>
      <c r="I239" s="121">
        <f t="shared" si="58"/>
        <v>0.25</v>
      </c>
      <c r="J239" s="16">
        <v>1</v>
      </c>
      <c r="K239" s="16">
        <v>1</v>
      </c>
      <c r="L239" s="121">
        <f t="shared" si="59"/>
        <v>1</v>
      </c>
      <c r="M239" s="16">
        <v>1</v>
      </c>
      <c r="N239" s="16">
        <v>2</v>
      </c>
      <c r="O239" s="16">
        <v>0</v>
      </c>
      <c r="P239" s="16">
        <v>1</v>
      </c>
      <c r="Q239" s="16">
        <v>0</v>
      </c>
      <c r="R239" s="16">
        <v>4</v>
      </c>
    </row>
    <row r="240" spans="1:18" x14ac:dyDescent="0.25">
      <c r="A240" s="73">
        <v>42260</v>
      </c>
      <c r="B240" s="20"/>
      <c r="C240" s="15" t="s">
        <v>123</v>
      </c>
      <c r="D240" s="16">
        <v>5</v>
      </c>
      <c r="E240" s="16">
        <v>10</v>
      </c>
      <c r="F240" s="121">
        <f t="shared" si="57"/>
        <v>0.5</v>
      </c>
      <c r="G240" s="16">
        <v>3</v>
      </c>
      <c r="H240" s="16">
        <v>7</v>
      </c>
      <c r="I240" s="121">
        <f t="shared" si="58"/>
        <v>0.42857142857142855</v>
      </c>
      <c r="J240" s="16">
        <v>2</v>
      </c>
      <c r="K240" s="16">
        <v>2</v>
      </c>
      <c r="L240" s="121">
        <f t="shared" si="59"/>
        <v>1</v>
      </c>
      <c r="M240" s="16">
        <v>3</v>
      </c>
      <c r="N240" s="16">
        <v>4</v>
      </c>
      <c r="O240" s="16">
        <v>2</v>
      </c>
      <c r="P240" s="16">
        <v>1</v>
      </c>
      <c r="Q240" s="16">
        <v>0</v>
      </c>
      <c r="R240" s="16">
        <v>15</v>
      </c>
    </row>
    <row r="241" spans="1:18" x14ac:dyDescent="0.25">
      <c r="A241" s="73">
        <v>42260</v>
      </c>
      <c r="B241" s="20"/>
      <c r="C241" s="15" t="s">
        <v>62</v>
      </c>
      <c r="D241" s="16">
        <v>0</v>
      </c>
      <c r="E241" s="16">
        <v>6</v>
      </c>
      <c r="F241" s="121">
        <f t="shared" si="57"/>
        <v>0</v>
      </c>
      <c r="G241" s="16">
        <v>0</v>
      </c>
      <c r="H241" s="16">
        <v>4</v>
      </c>
      <c r="I241" s="121">
        <f t="shared" si="58"/>
        <v>0</v>
      </c>
      <c r="J241" s="16">
        <v>0</v>
      </c>
      <c r="K241" s="16">
        <v>0</v>
      </c>
      <c r="L241" s="121">
        <f t="shared" si="59"/>
        <v>0</v>
      </c>
      <c r="M241" s="16">
        <v>2</v>
      </c>
      <c r="N241" s="16">
        <v>2</v>
      </c>
      <c r="O241" s="16">
        <v>2</v>
      </c>
      <c r="P241" s="16">
        <v>3</v>
      </c>
      <c r="Q241" s="16">
        <v>0</v>
      </c>
      <c r="R241" s="16">
        <v>0</v>
      </c>
    </row>
    <row r="242" spans="1:18" x14ac:dyDescent="0.25">
      <c r="A242" s="73">
        <v>42260</v>
      </c>
      <c r="B242" s="20"/>
      <c r="C242" s="15" t="s">
        <v>48</v>
      </c>
      <c r="D242" s="16">
        <v>1</v>
      </c>
      <c r="E242" s="16">
        <v>7</v>
      </c>
      <c r="F242" s="121">
        <f t="shared" si="57"/>
        <v>0.14285714285714285</v>
      </c>
      <c r="G242" s="16">
        <v>0</v>
      </c>
      <c r="H242" s="16">
        <v>2</v>
      </c>
      <c r="I242" s="121">
        <f t="shared" si="58"/>
        <v>0</v>
      </c>
      <c r="J242" s="16">
        <v>5</v>
      </c>
      <c r="K242" s="16">
        <v>5</v>
      </c>
      <c r="L242" s="121">
        <f t="shared" si="59"/>
        <v>1</v>
      </c>
      <c r="M242" s="16">
        <v>2</v>
      </c>
      <c r="N242" s="16">
        <v>1</v>
      </c>
      <c r="O242" s="16">
        <v>1</v>
      </c>
      <c r="P242" s="16">
        <v>2</v>
      </c>
      <c r="Q242" s="16">
        <v>0</v>
      </c>
      <c r="R242" s="16">
        <v>7</v>
      </c>
    </row>
    <row r="244" spans="1:18" x14ac:dyDescent="0.25">
      <c r="A244" s="6" t="s">
        <v>17</v>
      </c>
      <c r="D244" s="6">
        <f>SUBTOTAL(109,shootsandscoresStats[FGM])</f>
        <v>859</v>
      </c>
      <c r="E244" s="6">
        <f>SUBTOTAL(109,shootsandscoresStats[FGA])</f>
        <v>2069</v>
      </c>
      <c r="F244" s="7">
        <f>shootsandscoresStats[[#Totals],[FGM]]/shootsandscoresStats[[#Totals],[FGA]]</f>
        <v>0.41517641372643788</v>
      </c>
      <c r="G244" s="6">
        <f>SUBTOTAL(109,shootsandscoresStats[3-PT FGM])</f>
        <v>138</v>
      </c>
      <c r="H244" s="6">
        <f>SUBTOTAL(109,shootsandscoresStats[3-PT FGA])</f>
        <v>465</v>
      </c>
      <c r="I244" s="7">
        <f>shootsandscoresStats[[#Totals],[3-PT FGM]]/shootsandscoresStats[[#Totals],[3-PT FGA]]</f>
        <v>0.29677419354838708</v>
      </c>
      <c r="J244" s="6">
        <f>SUBTOTAL(109,shootsandscoresStats[FTM])</f>
        <v>477</v>
      </c>
      <c r="K244" s="6">
        <f>SUBTOTAL(109,shootsandscoresStats[FTA])</f>
        <v>615</v>
      </c>
      <c r="L244" s="7">
        <f>shootsandscoresStats[[#Totals],[FTM]]/shootsandscoresStats[[#Totals],[FTA]]</f>
        <v>0.775609756097561</v>
      </c>
      <c r="M244" s="6">
        <f>SUBTOTAL(109,shootsandscoresStats[REB])</f>
        <v>905</v>
      </c>
      <c r="N244" s="6">
        <f>SUBTOTAL(109,shootsandscoresStats[AST])</f>
        <v>410</v>
      </c>
      <c r="O244" s="6">
        <f>SUBTOTAL(109,shootsandscoresStats[STL])</f>
        <v>213</v>
      </c>
      <c r="P244" s="6">
        <f>SUBTOTAL(109,shootsandscoresStats[TO])</f>
        <v>372</v>
      </c>
      <c r="Q244" s="6">
        <f>SUBTOTAL(109,shootsandscoresStats[BLK])</f>
        <v>96</v>
      </c>
      <c r="R244" s="6">
        <f>SUBTOTAL(109,shootsandscoresStats[PTS])</f>
        <v>2333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7"/>
  <sheetViews>
    <sheetView showGridLines="0" topLeftCell="A175" workbookViewId="0">
      <selection sqref="A1:R197"/>
    </sheetView>
  </sheetViews>
  <sheetFormatPr defaultRowHeight="15" x14ac:dyDescent="0.25"/>
  <cols>
    <col min="1" max="1" width="7.28515625" style="6" customWidth="1"/>
    <col min="2" max="2" width="1.42578125" style="6" bestFit="1" customWidth="1"/>
    <col min="3" max="3" width="19.7109375" style="6" bestFit="1" customWidth="1"/>
    <col min="4" max="4" width="5.28515625" style="6" bestFit="1" customWidth="1"/>
    <col min="5" max="5" width="4.7109375" style="6" bestFit="1" customWidth="1"/>
    <col min="6" max="6" width="5.5703125" style="7" bestFit="1" customWidth="1"/>
    <col min="7" max="7" width="9.5703125" style="6" bestFit="1" customWidth="1"/>
    <col min="8" max="8" width="9" style="6" bestFit="1" customWidth="1"/>
    <col min="9" max="9" width="6.42578125" style="7" bestFit="1" customWidth="1"/>
    <col min="10" max="10" width="4.85546875" style="6" bestFit="1" customWidth="1"/>
    <col min="11" max="11" width="4.28515625" style="6" bestFit="1" customWidth="1"/>
    <col min="12" max="12" width="5.5703125" style="7" bestFit="1" customWidth="1"/>
    <col min="13" max="13" width="5" style="6" bestFit="1" customWidth="1"/>
    <col min="14" max="14" width="4.28515625" style="6" bestFit="1" customWidth="1"/>
    <col min="15" max="15" width="3.85546875" style="6" bestFit="1" customWidth="1"/>
    <col min="16" max="16" width="4" bestFit="1" customWidth="1"/>
    <col min="17" max="17" width="4.140625" style="6" bestFit="1" customWidth="1"/>
    <col min="18" max="18" width="5" bestFit="1" customWidth="1"/>
    <col min="20" max="20" width="6" style="6" customWidth="1"/>
    <col min="21" max="16384" width="9.140625" style="6"/>
  </cols>
  <sheetData>
    <row r="1" spans="1:19" s="3" customFormat="1" x14ac:dyDescent="0.25">
      <c r="A1" s="3" t="s">
        <v>0</v>
      </c>
      <c r="B1" s="11" t="s">
        <v>19</v>
      </c>
      <c r="C1" s="4" t="s">
        <v>1</v>
      </c>
      <c r="D1" s="3" t="s">
        <v>2</v>
      </c>
      <c r="E1" s="3" t="s">
        <v>3</v>
      </c>
      <c r="F1" s="5" t="s">
        <v>4</v>
      </c>
      <c r="G1" s="3" t="s">
        <v>5</v>
      </c>
      <c r="H1" s="3" t="s">
        <v>6</v>
      </c>
      <c r="I1" s="5" t="s">
        <v>7</v>
      </c>
      <c r="J1" s="3" t="s">
        <v>8</v>
      </c>
      <c r="K1" s="3" t="s">
        <v>9</v>
      </c>
      <c r="L1" s="5" t="s">
        <v>10</v>
      </c>
      <c r="M1" s="3" t="s">
        <v>11</v>
      </c>
      <c r="N1" s="3" t="s">
        <v>12</v>
      </c>
      <c r="O1" s="3" t="s">
        <v>15</v>
      </c>
      <c r="P1" s="3" t="s">
        <v>16</v>
      </c>
      <c r="Q1" s="3" t="s">
        <v>14</v>
      </c>
      <c r="R1" s="13" t="s">
        <v>13</v>
      </c>
    </row>
    <row r="2" spans="1:19" x14ac:dyDescent="0.25">
      <c r="A2" s="14">
        <v>42160</v>
      </c>
      <c r="B2" s="15"/>
      <c r="C2" s="10" t="s">
        <v>35</v>
      </c>
      <c r="D2" s="16">
        <v>1</v>
      </c>
      <c r="E2" s="16">
        <v>5</v>
      </c>
      <c r="F2" s="17">
        <f t="shared" ref="F2:F11" si="0">IF(E2=0,0,D2/E2)</f>
        <v>0.2</v>
      </c>
      <c r="G2" s="16">
        <v>0</v>
      </c>
      <c r="H2" s="16">
        <v>1</v>
      </c>
      <c r="I2" s="17">
        <f t="shared" ref="I2:I11" si="1">IF(H2=0,0,G2/H2)</f>
        <v>0</v>
      </c>
      <c r="J2" s="16">
        <v>3</v>
      </c>
      <c r="K2" s="16">
        <v>3</v>
      </c>
      <c r="L2" s="17">
        <f t="shared" ref="L2:L11" si="2">IF(K2=0,0,J2/K2)</f>
        <v>1</v>
      </c>
      <c r="M2" s="16">
        <v>2</v>
      </c>
      <c r="N2" s="16">
        <v>0</v>
      </c>
      <c r="O2" s="16">
        <v>0</v>
      </c>
      <c r="P2" s="16">
        <v>1</v>
      </c>
      <c r="Q2" s="16">
        <v>0</v>
      </c>
      <c r="R2" s="16">
        <v>5</v>
      </c>
      <c r="S2" s="6"/>
    </row>
    <row r="3" spans="1:19" x14ac:dyDescent="0.25">
      <c r="A3" s="14">
        <v>42160</v>
      </c>
      <c r="B3" s="15"/>
      <c r="C3" s="10" t="s">
        <v>36</v>
      </c>
      <c r="D3" s="16">
        <v>4</v>
      </c>
      <c r="E3" s="16">
        <v>12</v>
      </c>
      <c r="F3" s="17">
        <f t="shared" si="0"/>
        <v>0.33333333333333331</v>
      </c>
      <c r="G3" s="16">
        <v>0</v>
      </c>
      <c r="H3" s="16">
        <v>1</v>
      </c>
      <c r="I3" s="17">
        <f t="shared" si="1"/>
        <v>0</v>
      </c>
      <c r="J3" s="16">
        <v>0</v>
      </c>
      <c r="K3" s="16">
        <v>0</v>
      </c>
      <c r="L3" s="17">
        <f t="shared" si="2"/>
        <v>0</v>
      </c>
      <c r="M3" s="16">
        <v>3</v>
      </c>
      <c r="N3" s="16">
        <v>4</v>
      </c>
      <c r="O3" s="16">
        <v>2</v>
      </c>
      <c r="P3" s="16">
        <v>1</v>
      </c>
      <c r="Q3" s="16">
        <v>0</v>
      </c>
      <c r="R3" s="16">
        <v>8</v>
      </c>
    </row>
    <row r="4" spans="1:19" x14ac:dyDescent="0.25">
      <c r="A4" s="14">
        <v>42160</v>
      </c>
      <c r="B4" s="15"/>
      <c r="C4" s="10" t="s">
        <v>37</v>
      </c>
      <c r="D4" s="16">
        <v>4</v>
      </c>
      <c r="E4" s="16">
        <v>5</v>
      </c>
      <c r="F4" s="17">
        <f t="shared" si="0"/>
        <v>0.8</v>
      </c>
      <c r="G4" s="16">
        <v>0</v>
      </c>
      <c r="H4" s="16">
        <v>0</v>
      </c>
      <c r="I4" s="17">
        <f t="shared" si="1"/>
        <v>0</v>
      </c>
      <c r="J4" s="16">
        <v>0</v>
      </c>
      <c r="K4" s="16">
        <v>0</v>
      </c>
      <c r="L4" s="17">
        <f t="shared" si="2"/>
        <v>0</v>
      </c>
      <c r="M4" s="16">
        <v>4</v>
      </c>
      <c r="N4" s="16">
        <v>0</v>
      </c>
      <c r="O4" s="16">
        <v>1</v>
      </c>
      <c r="P4" s="16">
        <v>2</v>
      </c>
      <c r="Q4" s="16">
        <v>0</v>
      </c>
      <c r="R4" s="16">
        <v>8</v>
      </c>
    </row>
    <row r="5" spans="1:19" x14ac:dyDescent="0.25">
      <c r="A5" s="14">
        <v>42160</v>
      </c>
      <c r="B5" s="15"/>
      <c r="C5" s="10" t="s">
        <v>38</v>
      </c>
      <c r="D5" s="16">
        <v>6</v>
      </c>
      <c r="E5" s="16">
        <v>9</v>
      </c>
      <c r="F5" s="17">
        <f t="shared" si="0"/>
        <v>0.66666666666666663</v>
      </c>
      <c r="G5" s="16">
        <v>0</v>
      </c>
      <c r="H5" s="16">
        <v>0</v>
      </c>
      <c r="I5" s="17">
        <f t="shared" si="1"/>
        <v>0</v>
      </c>
      <c r="J5" s="16">
        <v>2</v>
      </c>
      <c r="K5" s="16">
        <v>3</v>
      </c>
      <c r="L5" s="17">
        <f t="shared" si="2"/>
        <v>0.66666666666666663</v>
      </c>
      <c r="M5" s="16">
        <v>18</v>
      </c>
      <c r="N5" s="16">
        <v>2</v>
      </c>
      <c r="O5" s="16">
        <v>1</v>
      </c>
      <c r="P5" s="16">
        <v>2</v>
      </c>
      <c r="Q5" s="16">
        <v>1</v>
      </c>
      <c r="R5" s="16">
        <v>14</v>
      </c>
    </row>
    <row r="6" spans="1:19" x14ac:dyDescent="0.25">
      <c r="A6" s="26">
        <v>42160</v>
      </c>
      <c r="B6" s="26"/>
      <c r="C6" s="6" t="s">
        <v>39</v>
      </c>
      <c r="D6" s="23">
        <v>4</v>
      </c>
      <c r="E6" s="23">
        <v>9</v>
      </c>
      <c r="F6" s="24">
        <f t="shared" si="0"/>
        <v>0.44444444444444442</v>
      </c>
      <c r="G6" s="23">
        <v>2</v>
      </c>
      <c r="H6" s="23">
        <v>6</v>
      </c>
      <c r="I6" s="24">
        <f t="shared" si="1"/>
        <v>0.33333333333333331</v>
      </c>
      <c r="J6" s="23">
        <v>0</v>
      </c>
      <c r="K6" s="23">
        <v>0</v>
      </c>
      <c r="L6" s="24">
        <f t="shared" si="2"/>
        <v>0</v>
      </c>
      <c r="M6" s="23">
        <v>8</v>
      </c>
      <c r="N6" s="23">
        <v>4</v>
      </c>
      <c r="O6" s="23">
        <v>1</v>
      </c>
      <c r="P6" s="23">
        <v>3</v>
      </c>
      <c r="Q6" s="23">
        <v>0</v>
      </c>
      <c r="R6" s="25">
        <v>10</v>
      </c>
    </row>
    <row r="7" spans="1:19" x14ac:dyDescent="0.25">
      <c r="A7" s="110">
        <v>42161</v>
      </c>
      <c r="B7" s="110"/>
      <c r="C7" s="111" t="s">
        <v>38</v>
      </c>
      <c r="D7" s="112">
        <v>6</v>
      </c>
      <c r="E7" s="112">
        <v>8</v>
      </c>
      <c r="F7" s="113">
        <f t="shared" si="0"/>
        <v>0.75</v>
      </c>
      <c r="G7" s="112">
        <v>0</v>
      </c>
      <c r="H7" s="112">
        <v>0</v>
      </c>
      <c r="I7" s="113">
        <f t="shared" si="1"/>
        <v>0</v>
      </c>
      <c r="J7" s="112">
        <v>4</v>
      </c>
      <c r="K7" s="112">
        <v>6</v>
      </c>
      <c r="L7" s="113">
        <f t="shared" si="2"/>
        <v>0.66666666666666663</v>
      </c>
      <c r="M7" s="112">
        <v>10</v>
      </c>
      <c r="N7" s="112">
        <v>0</v>
      </c>
      <c r="O7" s="112">
        <v>0</v>
      </c>
      <c r="P7" s="112">
        <v>2</v>
      </c>
      <c r="Q7" s="112">
        <v>2</v>
      </c>
      <c r="R7" s="115">
        <v>16</v>
      </c>
      <c r="S7" s="6"/>
    </row>
    <row r="8" spans="1:19" x14ac:dyDescent="0.25">
      <c r="A8" s="110">
        <v>42161</v>
      </c>
      <c r="B8" s="110"/>
      <c r="C8" s="111" t="s">
        <v>36</v>
      </c>
      <c r="D8" s="112">
        <v>9</v>
      </c>
      <c r="E8" s="112">
        <v>14</v>
      </c>
      <c r="F8" s="113">
        <f t="shared" si="0"/>
        <v>0.6428571428571429</v>
      </c>
      <c r="G8" s="112">
        <v>1</v>
      </c>
      <c r="H8" s="112">
        <v>1</v>
      </c>
      <c r="I8" s="113">
        <f t="shared" si="1"/>
        <v>1</v>
      </c>
      <c r="J8" s="112">
        <v>7</v>
      </c>
      <c r="K8" s="112">
        <v>9</v>
      </c>
      <c r="L8" s="113">
        <f t="shared" si="2"/>
        <v>0.77777777777777779</v>
      </c>
      <c r="M8" s="112">
        <v>2</v>
      </c>
      <c r="N8" s="112">
        <v>2</v>
      </c>
      <c r="O8" s="112">
        <v>0</v>
      </c>
      <c r="P8" s="112">
        <v>2</v>
      </c>
      <c r="Q8" s="112">
        <v>0</v>
      </c>
      <c r="R8" s="115">
        <v>26</v>
      </c>
    </row>
    <row r="9" spans="1:19" x14ac:dyDescent="0.25">
      <c r="A9" s="26">
        <v>42161</v>
      </c>
      <c r="B9" s="26"/>
      <c r="C9" s="22" t="s">
        <v>84</v>
      </c>
      <c r="D9" s="23">
        <v>3</v>
      </c>
      <c r="E9" s="23">
        <v>10</v>
      </c>
      <c r="F9" s="24">
        <f t="shared" si="0"/>
        <v>0.3</v>
      </c>
      <c r="G9" s="23">
        <v>2</v>
      </c>
      <c r="H9" s="23">
        <v>7</v>
      </c>
      <c r="I9" s="24">
        <f t="shared" si="1"/>
        <v>0.2857142857142857</v>
      </c>
      <c r="J9" s="23">
        <v>3</v>
      </c>
      <c r="K9" s="23">
        <v>3</v>
      </c>
      <c r="L9" s="24">
        <f t="shared" si="2"/>
        <v>1</v>
      </c>
      <c r="M9" s="23">
        <v>2</v>
      </c>
      <c r="N9" s="23">
        <v>5</v>
      </c>
      <c r="O9" s="23">
        <v>2</v>
      </c>
      <c r="P9" s="23">
        <v>2</v>
      </c>
      <c r="Q9" s="23">
        <v>0</v>
      </c>
      <c r="R9" s="25">
        <v>11</v>
      </c>
    </row>
    <row r="10" spans="1:19" x14ac:dyDescent="0.25">
      <c r="A10" s="26">
        <v>42161</v>
      </c>
      <c r="B10" s="26"/>
      <c r="C10" s="22" t="s">
        <v>35</v>
      </c>
      <c r="D10" s="23">
        <v>5</v>
      </c>
      <c r="E10" s="23">
        <v>9</v>
      </c>
      <c r="F10" s="24">
        <f t="shared" si="0"/>
        <v>0.55555555555555558</v>
      </c>
      <c r="G10" s="23">
        <v>3</v>
      </c>
      <c r="H10" s="23">
        <v>4</v>
      </c>
      <c r="I10" s="24">
        <f t="shared" si="1"/>
        <v>0.75</v>
      </c>
      <c r="J10" s="23">
        <v>2</v>
      </c>
      <c r="K10" s="23">
        <v>3</v>
      </c>
      <c r="L10" s="24">
        <f t="shared" si="2"/>
        <v>0.66666666666666663</v>
      </c>
      <c r="M10" s="23">
        <v>1</v>
      </c>
      <c r="N10" s="23">
        <v>2</v>
      </c>
      <c r="O10" s="23">
        <v>0</v>
      </c>
      <c r="P10" s="23">
        <v>1</v>
      </c>
      <c r="Q10" s="23">
        <v>0</v>
      </c>
      <c r="R10" s="25">
        <v>15</v>
      </c>
    </row>
    <row r="11" spans="1:19" x14ac:dyDescent="0.25">
      <c r="A11" s="26">
        <v>42161</v>
      </c>
      <c r="B11" s="26"/>
      <c r="C11" s="22" t="s">
        <v>37</v>
      </c>
      <c r="D11" s="23">
        <v>1</v>
      </c>
      <c r="E11" s="23">
        <v>4</v>
      </c>
      <c r="F11" s="24">
        <f t="shared" si="0"/>
        <v>0.25</v>
      </c>
      <c r="G11" s="23">
        <v>0</v>
      </c>
      <c r="H11" s="23">
        <v>0</v>
      </c>
      <c r="I11" s="24">
        <f t="shared" si="1"/>
        <v>0</v>
      </c>
      <c r="J11" s="23">
        <v>0</v>
      </c>
      <c r="K11" s="23">
        <v>0</v>
      </c>
      <c r="L11" s="24">
        <f t="shared" si="2"/>
        <v>0</v>
      </c>
      <c r="M11" s="23">
        <v>4</v>
      </c>
      <c r="N11" s="23">
        <v>0</v>
      </c>
      <c r="O11" s="23">
        <v>0</v>
      </c>
      <c r="P11" s="23">
        <v>2</v>
      </c>
      <c r="Q11" s="23">
        <v>1</v>
      </c>
      <c r="R11" s="25">
        <v>2</v>
      </c>
    </row>
    <row r="12" spans="1:19" x14ac:dyDescent="0.25">
      <c r="A12" s="43">
        <v>42162</v>
      </c>
      <c r="B12" s="43"/>
      <c r="C12" s="22" t="s">
        <v>39</v>
      </c>
      <c r="D12" s="23">
        <v>2</v>
      </c>
      <c r="E12" s="23">
        <v>10</v>
      </c>
      <c r="F12" s="38">
        <f t="shared" ref="F12:F18" si="3">IF(E12=0,0,D12/E12)</f>
        <v>0.2</v>
      </c>
      <c r="G12" s="23">
        <v>2</v>
      </c>
      <c r="H12" s="23">
        <v>7</v>
      </c>
      <c r="I12" s="38">
        <f t="shared" ref="I12:I18" si="4">IF(H12=0,0,G12/H12)</f>
        <v>0.2857142857142857</v>
      </c>
      <c r="J12" s="23">
        <v>0</v>
      </c>
      <c r="K12" s="23">
        <v>0</v>
      </c>
      <c r="L12" s="38">
        <f t="shared" ref="L12:L18" si="5">IF(K12=0,0,J12/K12)</f>
        <v>0</v>
      </c>
      <c r="M12" s="23">
        <v>7</v>
      </c>
      <c r="N12" s="23">
        <v>3</v>
      </c>
      <c r="O12" s="23">
        <v>0</v>
      </c>
      <c r="P12" s="23">
        <v>5</v>
      </c>
      <c r="Q12" s="23">
        <v>0</v>
      </c>
      <c r="R12" s="25">
        <v>6</v>
      </c>
    </row>
    <row r="13" spans="1:19" s="10" customFormat="1" x14ac:dyDescent="0.25">
      <c r="A13" s="26">
        <v>42164</v>
      </c>
      <c r="B13" s="26"/>
      <c r="C13" s="22" t="s">
        <v>35</v>
      </c>
      <c r="D13" s="23">
        <v>1</v>
      </c>
      <c r="E13" s="23">
        <v>4</v>
      </c>
      <c r="F13" s="38">
        <f t="shared" si="3"/>
        <v>0.25</v>
      </c>
      <c r="G13" s="23">
        <v>1</v>
      </c>
      <c r="H13" s="23">
        <v>3</v>
      </c>
      <c r="I13" s="38">
        <f t="shared" si="4"/>
        <v>0.33333333333333331</v>
      </c>
      <c r="J13" s="23">
        <v>1</v>
      </c>
      <c r="K13" s="23">
        <v>4</v>
      </c>
      <c r="L13" s="38">
        <f t="shared" si="5"/>
        <v>0.25</v>
      </c>
      <c r="M13" s="23">
        <v>1</v>
      </c>
      <c r="N13" s="23">
        <v>0</v>
      </c>
      <c r="O13" s="23">
        <v>1</v>
      </c>
      <c r="P13" s="23">
        <v>1</v>
      </c>
      <c r="Q13" s="23">
        <v>0</v>
      </c>
      <c r="R13" s="25">
        <v>4</v>
      </c>
      <c r="S13" s="40"/>
    </row>
    <row r="14" spans="1:19" x14ac:dyDescent="0.25">
      <c r="A14" s="43">
        <v>42166</v>
      </c>
      <c r="B14" s="43"/>
      <c r="C14" s="22" t="s">
        <v>38</v>
      </c>
      <c r="D14" s="23">
        <v>4</v>
      </c>
      <c r="E14" s="23">
        <v>6</v>
      </c>
      <c r="F14" s="38">
        <f t="shared" si="3"/>
        <v>0.66666666666666663</v>
      </c>
      <c r="G14" s="23">
        <v>0</v>
      </c>
      <c r="H14" s="23">
        <v>0</v>
      </c>
      <c r="I14" s="38">
        <f t="shared" si="4"/>
        <v>0</v>
      </c>
      <c r="J14" s="23">
        <v>4</v>
      </c>
      <c r="K14" s="23">
        <v>5</v>
      </c>
      <c r="L14" s="38">
        <f t="shared" si="5"/>
        <v>0.8</v>
      </c>
      <c r="M14" s="23">
        <v>8</v>
      </c>
      <c r="N14" s="23">
        <v>1</v>
      </c>
      <c r="O14" s="23">
        <v>1</v>
      </c>
      <c r="P14" s="23">
        <v>0</v>
      </c>
      <c r="Q14" s="23">
        <v>1</v>
      </c>
      <c r="R14" s="25">
        <v>12</v>
      </c>
    </row>
    <row r="15" spans="1:19" x14ac:dyDescent="0.25">
      <c r="A15" s="43">
        <v>42166</v>
      </c>
      <c r="B15" s="43"/>
      <c r="C15" s="22" t="s">
        <v>37</v>
      </c>
      <c r="D15" s="23">
        <v>1</v>
      </c>
      <c r="E15" s="23">
        <v>3</v>
      </c>
      <c r="F15" s="38">
        <f t="shared" si="3"/>
        <v>0.33333333333333331</v>
      </c>
      <c r="G15" s="23">
        <v>0</v>
      </c>
      <c r="H15" s="23">
        <v>0</v>
      </c>
      <c r="I15" s="38">
        <f t="shared" si="4"/>
        <v>0</v>
      </c>
      <c r="J15" s="23">
        <v>0</v>
      </c>
      <c r="K15" s="23">
        <v>2</v>
      </c>
      <c r="L15" s="38">
        <f t="shared" si="5"/>
        <v>0</v>
      </c>
      <c r="M15" s="23">
        <v>3</v>
      </c>
      <c r="N15" s="23">
        <v>0</v>
      </c>
      <c r="O15" s="23">
        <v>0</v>
      </c>
      <c r="P15" s="23">
        <v>0</v>
      </c>
      <c r="Q15" s="23">
        <v>0</v>
      </c>
      <c r="R15" s="25">
        <v>2</v>
      </c>
    </row>
    <row r="16" spans="1:19" x14ac:dyDescent="0.25">
      <c r="A16" s="43">
        <v>42166</v>
      </c>
      <c r="B16" s="43"/>
      <c r="C16" s="22" t="s">
        <v>36</v>
      </c>
      <c r="D16" s="23">
        <v>6</v>
      </c>
      <c r="E16" s="23">
        <v>17</v>
      </c>
      <c r="F16" s="38">
        <f t="shared" si="3"/>
        <v>0.35294117647058826</v>
      </c>
      <c r="G16" s="23">
        <v>0</v>
      </c>
      <c r="H16" s="23">
        <v>2</v>
      </c>
      <c r="I16" s="38">
        <f t="shared" si="4"/>
        <v>0</v>
      </c>
      <c r="J16" s="23">
        <v>2</v>
      </c>
      <c r="K16" s="23">
        <v>2</v>
      </c>
      <c r="L16" s="38">
        <f t="shared" si="5"/>
        <v>1</v>
      </c>
      <c r="M16" s="23">
        <v>8</v>
      </c>
      <c r="N16" s="23">
        <v>1</v>
      </c>
      <c r="O16" s="23">
        <v>1</v>
      </c>
      <c r="P16" s="23">
        <v>3</v>
      </c>
      <c r="Q16" s="23">
        <v>0</v>
      </c>
      <c r="R16" s="25">
        <v>14</v>
      </c>
    </row>
    <row r="17" spans="1:18" x14ac:dyDescent="0.25">
      <c r="A17" s="43">
        <v>42166</v>
      </c>
      <c r="B17" s="43"/>
      <c r="C17" s="22" t="s">
        <v>39</v>
      </c>
      <c r="D17" s="23">
        <v>2</v>
      </c>
      <c r="E17" s="23">
        <v>4</v>
      </c>
      <c r="F17" s="38">
        <f t="shared" si="3"/>
        <v>0.5</v>
      </c>
      <c r="G17" s="23">
        <v>2</v>
      </c>
      <c r="H17" s="23">
        <v>4</v>
      </c>
      <c r="I17" s="38">
        <f t="shared" si="4"/>
        <v>0.5</v>
      </c>
      <c r="J17" s="23">
        <v>0</v>
      </c>
      <c r="K17" s="23">
        <v>0</v>
      </c>
      <c r="L17" s="38">
        <f t="shared" si="5"/>
        <v>0</v>
      </c>
      <c r="M17" s="23">
        <v>1</v>
      </c>
      <c r="N17" s="23">
        <v>3</v>
      </c>
      <c r="O17" s="23">
        <v>0</v>
      </c>
      <c r="P17" s="23">
        <v>1</v>
      </c>
      <c r="Q17" s="23">
        <v>0</v>
      </c>
      <c r="R17" s="25">
        <v>6</v>
      </c>
    </row>
    <row r="18" spans="1:18" x14ac:dyDescent="0.25">
      <c r="A18" s="43">
        <v>42167</v>
      </c>
      <c r="B18" s="43"/>
      <c r="C18" s="22" t="s">
        <v>39</v>
      </c>
      <c r="D18" s="23">
        <v>2</v>
      </c>
      <c r="E18" s="23">
        <v>5</v>
      </c>
      <c r="F18" s="38">
        <f t="shared" si="3"/>
        <v>0.4</v>
      </c>
      <c r="G18" s="23">
        <v>2</v>
      </c>
      <c r="H18" s="23">
        <v>4</v>
      </c>
      <c r="I18" s="38">
        <f t="shared" si="4"/>
        <v>0.5</v>
      </c>
      <c r="J18" s="23">
        <v>0</v>
      </c>
      <c r="K18" s="23">
        <v>0</v>
      </c>
      <c r="L18" s="38">
        <f t="shared" si="5"/>
        <v>0</v>
      </c>
      <c r="M18" s="23">
        <v>3</v>
      </c>
      <c r="N18" s="23">
        <v>3</v>
      </c>
      <c r="O18" s="23">
        <v>3</v>
      </c>
      <c r="P18" s="23">
        <v>4</v>
      </c>
      <c r="Q18" s="23">
        <v>0</v>
      </c>
      <c r="R18" s="25">
        <v>6</v>
      </c>
    </row>
    <row r="19" spans="1:18" x14ac:dyDescent="0.25">
      <c r="A19" s="43">
        <v>42169</v>
      </c>
      <c r="B19" s="43"/>
      <c r="C19" s="22" t="s">
        <v>36</v>
      </c>
      <c r="D19" s="23">
        <v>5</v>
      </c>
      <c r="E19" s="23">
        <v>10</v>
      </c>
      <c r="F19" s="38">
        <f t="shared" ref="F19:F28" si="6">IF(E19=0,0,D19/E19)</f>
        <v>0.5</v>
      </c>
      <c r="G19" s="23">
        <v>1</v>
      </c>
      <c r="H19" s="23">
        <v>2</v>
      </c>
      <c r="I19" s="38">
        <f t="shared" ref="I19:I28" si="7">IF(H19=0,0,G19/H19)</f>
        <v>0.5</v>
      </c>
      <c r="J19" s="23">
        <v>4</v>
      </c>
      <c r="K19" s="23">
        <v>4</v>
      </c>
      <c r="L19" s="38">
        <f t="shared" ref="L19:L28" si="8">IF(K19=0,0,J19/K19)</f>
        <v>1</v>
      </c>
      <c r="M19" s="23">
        <v>5</v>
      </c>
      <c r="N19" s="23">
        <v>4</v>
      </c>
      <c r="O19" s="23">
        <v>1</v>
      </c>
      <c r="P19" s="23">
        <v>1</v>
      </c>
      <c r="Q19" s="23">
        <v>0</v>
      </c>
      <c r="R19" s="25">
        <v>15</v>
      </c>
    </row>
    <row r="20" spans="1:18" x14ac:dyDescent="0.25">
      <c r="A20" s="43">
        <v>42169</v>
      </c>
      <c r="B20" s="43"/>
      <c r="C20" s="22" t="s">
        <v>35</v>
      </c>
      <c r="D20" s="23">
        <v>5</v>
      </c>
      <c r="E20" s="23">
        <v>10</v>
      </c>
      <c r="F20" s="38">
        <f t="shared" si="6"/>
        <v>0.5</v>
      </c>
      <c r="G20" s="23">
        <v>0</v>
      </c>
      <c r="H20" s="23">
        <v>1</v>
      </c>
      <c r="I20" s="38">
        <f t="shared" si="7"/>
        <v>0</v>
      </c>
      <c r="J20" s="23">
        <v>0</v>
      </c>
      <c r="K20" s="23">
        <v>1</v>
      </c>
      <c r="L20" s="38">
        <f t="shared" si="8"/>
        <v>0</v>
      </c>
      <c r="M20" s="23">
        <v>8</v>
      </c>
      <c r="N20" s="23">
        <v>1</v>
      </c>
      <c r="O20" s="23">
        <v>0</v>
      </c>
      <c r="P20" s="23">
        <v>2</v>
      </c>
      <c r="Q20" s="23">
        <v>0</v>
      </c>
      <c r="R20" s="25">
        <v>10</v>
      </c>
    </row>
    <row r="21" spans="1:18" x14ac:dyDescent="0.25">
      <c r="A21" s="43">
        <v>42169</v>
      </c>
      <c r="B21" s="43"/>
      <c r="C21" s="22" t="s">
        <v>84</v>
      </c>
      <c r="D21" s="23">
        <v>4</v>
      </c>
      <c r="E21" s="23">
        <v>11</v>
      </c>
      <c r="F21" s="38">
        <f t="shared" si="6"/>
        <v>0.36363636363636365</v>
      </c>
      <c r="G21" s="23">
        <v>2</v>
      </c>
      <c r="H21" s="23">
        <v>4</v>
      </c>
      <c r="I21" s="38">
        <f t="shared" si="7"/>
        <v>0.5</v>
      </c>
      <c r="J21" s="23">
        <v>0</v>
      </c>
      <c r="K21" s="23">
        <v>2</v>
      </c>
      <c r="L21" s="38">
        <f t="shared" si="8"/>
        <v>0</v>
      </c>
      <c r="M21" s="23">
        <v>5</v>
      </c>
      <c r="N21" s="23">
        <v>5</v>
      </c>
      <c r="O21" s="23">
        <v>1</v>
      </c>
      <c r="P21" s="23">
        <v>0</v>
      </c>
      <c r="Q21" s="23">
        <v>0</v>
      </c>
      <c r="R21" s="25">
        <v>10</v>
      </c>
    </row>
    <row r="22" spans="1:18" x14ac:dyDescent="0.25">
      <c r="A22" s="21">
        <v>42169</v>
      </c>
      <c r="B22" s="20"/>
      <c r="C22" s="15" t="s">
        <v>39</v>
      </c>
      <c r="D22" s="16">
        <v>0</v>
      </c>
      <c r="E22" s="16">
        <v>2</v>
      </c>
      <c r="F22" s="45">
        <f t="shared" si="6"/>
        <v>0</v>
      </c>
      <c r="G22" s="16">
        <v>0</v>
      </c>
      <c r="H22" s="16">
        <v>1</v>
      </c>
      <c r="I22" s="45">
        <f t="shared" si="7"/>
        <v>0</v>
      </c>
      <c r="J22" s="16">
        <v>0</v>
      </c>
      <c r="K22" s="16">
        <v>0</v>
      </c>
      <c r="L22" s="45">
        <f t="shared" si="8"/>
        <v>0</v>
      </c>
      <c r="M22" s="16">
        <v>0</v>
      </c>
      <c r="N22" s="16">
        <v>0</v>
      </c>
      <c r="O22" s="16">
        <v>0</v>
      </c>
      <c r="P22" s="16">
        <v>3</v>
      </c>
      <c r="Q22" s="16">
        <v>0</v>
      </c>
      <c r="R22" s="16">
        <v>0</v>
      </c>
    </row>
    <row r="23" spans="1:18" x14ac:dyDescent="0.25">
      <c r="A23" s="21">
        <v>42169</v>
      </c>
      <c r="B23" s="20"/>
      <c r="C23" s="15" t="s">
        <v>38</v>
      </c>
      <c r="D23" s="16">
        <v>2</v>
      </c>
      <c r="E23" s="16">
        <v>6</v>
      </c>
      <c r="F23" s="45">
        <f t="shared" si="6"/>
        <v>0.33333333333333331</v>
      </c>
      <c r="G23" s="16">
        <v>0</v>
      </c>
      <c r="H23" s="16">
        <v>0</v>
      </c>
      <c r="I23" s="45">
        <f t="shared" si="7"/>
        <v>0</v>
      </c>
      <c r="J23" s="16">
        <v>5</v>
      </c>
      <c r="K23" s="16">
        <v>5</v>
      </c>
      <c r="L23" s="45">
        <f t="shared" si="8"/>
        <v>1</v>
      </c>
      <c r="M23" s="16">
        <v>4</v>
      </c>
      <c r="N23" s="16">
        <v>1</v>
      </c>
      <c r="O23" s="16">
        <v>0</v>
      </c>
      <c r="P23" s="16">
        <v>2</v>
      </c>
      <c r="Q23" s="16">
        <v>1</v>
      </c>
      <c r="R23" s="16">
        <v>9</v>
      </c>
    </row>
    <row r="24" spans="1:18" x14ac:dyDescent="0.25">
      <c r="A24" s="21">
        <v>42169</v>
      </c>
      <c r="B24" s="20"/>
      <c r="C24" s="15" t="s">
        <v>37</v>
      </c>
      <c r="D24" s="16">
        <v>0</v>
      </c>
      <c r="E24" s="16">
        <v>2</v>
      </c>
      <c r="F24" s="45">
        <f t="shared" si="6"/>
        <v>0</v>
      </c>
      <c r="G24" s="16">
        <v>0</v>
      </c>
      <c r="H24" s="16">
        <v>0</v>
      </c>
      <c r="I24" s="45">
        <f t="shared" si="7"/>
        <v>0</v>
      </c>
      <c r="J24" s="16">
        <v>0</v>
      </c>
      <c r="K24" s="16">
        <v>2</v>
      </c>
      <c r="L24" s="45">
        <f t="shared" si="8"/>
        <v>0</v>
      </c>
      <c r="M24" s="16">
        <v>3</v>
      </c>
      <c r="N24" s="16">
        <v>0</v>
      </c>
      <c r="O24" s="16">
        <v>0</v>
      </c>
      <c r="P24" s="16">
        <v>1</v>
      </c>
      <c r="Q24" s="16">
        <v>2</v>
      </c>
      <c r="R24" s="16">
        <v>0</v>
      </c>
    </row>
    <row r="25" spans="1:18" x14ac:dyDescent="0.25">
      <c r="A25" s="43">
        <v>42171</v>
      </c>
      <c r="B25" s="43"/>
      <c r="C25" s="22" t="s">
        <v>35</v>
      </c>
      <c r="D25" s="23">
        <v>1</v>
      </c>
      <c r="E25" s="23">
        <v>4</v>
      </c>
      <c r="F25" s="38">
        <f t="shared" si="6"/>
        <v>0.25</v>
      </c>
      <c r="G25" s="23">
        <v>0</v>
      </c>
      <c r="H25" s="23">
        <v>0</v>
      </c>
      <c r="I25" s="38">
        <f t="shared" si="7"/>
        <v>0</v>
      </c>
      <c r="J25" s="23">
        <v>0</v>
      </c>
      <c r="K25" s="23">
        <v>0</v>
      </c>
      <c r="L25" s="38">
        <f t="shared" si="8"/>
        <v>0</v>
      </c>
      <c r="M25" s="23">
        <v>3</v>
      </c>
      <c r="N25" s="23">
        <v>5</v>
      </c>
      <c r="O25" s="23">
        <v>1</v>
      </c>
      <c r="P25" s="23">
        <v>0</v>
      </c>
      <c r="Q25" s="23">
        <v>1</v>
      </c>
      <c r="R25" s="25">
        <v>2</v>
      </c>
    </row>
    <row r="26" spans="1:18" x14ac:dyDescent="0.25">
      <c r="A26" s="43">
        <v>42171</v>
      </c>
      <c r="B26" s="43"/>
      <c r="C26" s="22" t="s">
        <v>84</v>
      </c>
      <c r="D26" s="23">
        <v>3</v>
      </c>
      <c r="E26" s="23">
        <v>12</v>
      </c>
      <c r="F26" s="38">
        <f t="shared" si="6"/>
        <v>0.25</v>
      </c>
      <c r="G26" s="23">
        <v>0</v>
      </c>
      <c r="H26" s="23">
        <v>4</v>
      </c>
      <c r="I26" s="38">
        <f t="shared" si="7"/>
        <v>0</v>
      </c>
      <c r="J26" s="23">
        <v>0</v>
      </c>
      <c r="K26" s="23">
        <v>0</v>
      </c>
      <c r="L26" s="38">
        <f t="shared" si="8"/>
        <v>0</v>
      </c>
      <c r="M26" s="23">
        <v>6</v>
      </c>
      <c r="N26" s="23">
        <v>4</v>
      </c>
      <c r="O26" s="23">
        <v>0</v>
      </c>
      <c r="P26" s="23">
        <v>5</v>
      </c>
      <c r="Q26" s="23">
        <v>1</v>
      </c>
      <c r="R26" s="25">
        <v>6</v>
      </c>
    </row>
    <row r="27" spans="1:18" x14ac:dyDescent="0.25">
      <c r="A27" s="43">
        <v>42171</v>
      </c>
      <c r="B27" s="43"/>
      <c r="C27" s="22" t="s">
        <v>39</v>
      </c>
      <c r="D27" s="23">
        <v>2</v>
      </c>
      <c r="E27" s="23">
        <v>6</v>
      </c>
      <c r="F27" s="38">
        <f t="shared" si="6"/>
        <v>0.33333333333333331</v>
      </c>
      <c r="G27" s="23">
        <v>2</v>
      </c>
      <c r="H27" s="23">
        <v>5</v>
      </c>
      <c r="I27" s="38">
        <f t="shared" si="7"/>
        <v>0.4</v>
      </c>
      <c r="J27" s="23">
        <v>1</v>
      </c>
      <c r="K27" s="23">
        <v>2</v>
      </c>
      <c r="L27" s="38">
        <f t="shared" si="8"/>
        <v>0.5</v>
      </c>
      <c r="M27" s="23">
        <v>2</v>
      </c>
      <c r="N27" s="23">
        <v>3</v>
      </c>
      <c r="O27" s="23">
        <v>1</v>
      </c>
      <c r="P27" s="23">
        <v>2</v>
      </c>
      <c r="Q27" s="23">
        <v>0</v>
      </c>
      <c r="R27" s="25">
        <v>7</v>
      </c>
    </row>
    <row r="28" spans="1:18" x14ac:dyDescent="0.25">
      <c r="A28" s="43">
        <v>42171</v>
      </c>
      <c r="B28" s="43"/>
      <c r="C28" s="22" t="s">
        <v>38</v>
      </c>
      <c r="D28" s="23">
        <v>1</v>
      </c>
      <c r="E28" s="23">
        <v>4</v>
      </c>
      <c r="F28" s="38">
        <f t="shared" si="6"/>
        <v>0.25</v>
      </c>
      <c r="G28" s="23">
        <v>0</v>
      </c>
      <c r="H28" s="23">
        <v>0</v>
      </c>
      <c r="I28" s="38">
        <f t="shared" si="7"/>
        <v>0</v>
      </c>
      <c r="J28" s="23">
        <v>0</v>
      </c>
      <c r="K28" s="23">
        <v>0</v>
      </c>
      <c r="L28" s="38">
        <f t="shared" si="8"/>
        <v>0</v>
      </c>
      <c r="M28" s="23">
        <v>7</v>
      </c>
      <c r="N28" s="23">
        <v>1</v>
      </c>
      <c r="O28" s="23">
        <v>2</v>
      </c>
      <c r="P28" s="23">
        <v>0</v>
      </c>
      <c r="Q28" s="23">
        <v>0</v>
      </c>
      <c r="R28" s="25">
        <v>2</v>
      </c>
    </row>
    <row r="29" spans="1:18" x14ac:dyDescent="0.25">
      <c r="A29" s="21">
        <v>42174</v>
      </c>
      <c r="B29" s="20"/>
      <c r="C29" s="15" t="s">
        <v>38</v>
      </c>
      <c r="D29" s="16">
        <v>5</v>
      </c>
      <c r="E29" s="16">
        <v>9</v>
      </c>
      <c r="F29" s="19">
        <f t="shared" ref="F29:F45" si="9">IF(E29=0,0,D29/E29)</f>
        <v>0.55555555555555558</v>
      </c>
      <c r="G29" s="16">
        <v>0</v>
      </c>
      <c r="H29" s="16">
        <v>0</v>
      </c>
      <c r="I29" s="19">
        <f t="shared" ref="I29:I45" si="10">IF(H29=0,0,G29/H29)</f>
        <v>0</v>
      </c>
      <c r="J29" s="16">
        <v>2</v>
      </c>
      <c r="K29" s="16">
        <v>2</v>
      </c>
      <c r="L29" s="19">
        <f t="shared" ref="L29:L45" si="11">IF(K29=0,0,J29/K29)</f>
        <v>1</v>
      </c>
      <c r="M29" s="16">
        <v>9</v>
      </c>
      <c r="N29" s="16">
        <v>3</v>
      </c>
      <c r="O29" s="16">
        <v>1</v>
      </c>
      <c r="P29" s="16">
        <v>3</v>
      </c>
      <c r="Q29" s="16">
        <v>5</v>
      </c>
      <c r="R29" s="16">
        <v>12</v>
      </c>
    </row>
    <row r="30" spans="1:18" x14ac:dyDescent="0.25">
      <c r="A30" s="21">
        <v>42174</v>
      </c>
      <c r="B30" s="20"/>
      <c r="C30" s="15" t="s">
        <v>35</v>
      </c>
      <c r="D30" s="16">
        <v>3</v>
      </c>
      <c r="E30" s="16">
        <v>6</v>
      </c>
      <c r="F30" s="19">
        <f t="shared" si="9"/>
        <v>0.5</v>
      </c>
      <c r="G30" s="16">
        <v>0</v>
      </c>
      <c r="H30" s="16">
        <v>1</v>
      </c>
      <c r="I30" s="19">
        <f t="shared" si="10"/>
        <v>0</v>
      </c>
      <c r="J30" s="16">
        <v>2</v>
      </c>
      <c r="K30" s="16">
        <v>3</v>
      </c>
      <c r="L30" s="19">
        <f t="shared" si="11"/>
        <v>0.66666666666666663</v>
      </c>
      <c r="M30" s="16">
        <v>5</v>
      </c>
      <c r="N30" s="16">
        <v>2</v>
      </c>
      <c r="O30" s="16">
        <v>0</v>
      </c>
      <c r="P30" s="16">
        <v>0</v>
      </c>
      <c r="Q30" s="16">
        <v>0</v>
      </c>
      <c r="R30" s="16">
        <v>8</v>
      </c>
    </row>
    <row r="31" spans="1:18" x14ac:dyDescent="0.25">
      <c r="A31" s="43">
        <v>42174</v>
      </c>
      <c r="B31" s="43"/>
      <c r="C31" s="22" t="s">
        <v>37</v>
      </c>
      <c r="D31" s="23">
        <v>1</v>
      </c>
      <c r="E31" s="23">
        <v>4</v>
      </c>
      <c r="F31" s="38">
        <f t="shared" si="9"/>
        <v>0.25</v>
      </c>
      <c r="G31" s="23">
        <v>0</v>
      </c>
      <c r="H31" s="23">
        <v>0</v>
      </c>
      <c r="I31" s="38">
        <f t="shared" si="10"/>
        <v>0</v>
      </c>
      <c r="J31" s="23">
        <v>0</v>
      </c>
      <c r="K31" s="23">
        <v>0</v>
      </c>
      <c r="L31" s="38">
        <f t="shared" si="11"/>
        <v>0</v>
      </c>
      <c r="M31" s="23">
        <v>0</v>
      </c>
      <c r="N31" s="23">
        <v>0</v>
      </c>
      <c r="O31" s="23">
        <v>1</v>
      </c>
      <c r="P31" s="23">
        <v>0</v>
      </c>
      <c r="Q31" s="23">
        <v>0</v>
      </c>
      <c r="R31" s="25">
        <v>2</v>
      </c>
    </row>
    <row r="32" spans="1:18" x14ac:dyDescent="0.25">
      <c r="A32" s="43">
        <v>42174</v>
      </c>
      <c r="B32" s="43"/>
      <c r="C32" s="22" t="s">
        <v>39</v>
      </c>
      <c r="D32" s="23">
        <v>3</v>
      </c>
      <c r="E32" s="23">
        <v>10</v>
      </c>
      <c r="F32" s="38">
        <f t="shared" si="9"/>
        <v>0.3</v>
      </c>
      <c r="G32" s="23">
        <v>0</v>
      </c>
      <c r="H32" s="23">
        <v>2</v>
      </c>
      <c r="I32" s="38">
        <f t="shared" si="10"/>
        <v>0</v>
      </c>
      <c r="J32" s="23">
        <v>1</v>
      </c>
      <c r="K32" s="23">
        <v>2</v>
      </c>
      <c r="L32" s="38">
        <f t="shared" si="11"/>
        <v>0.5</v>
      </c>
      <c r="M32" s="23">
        <v>3</v>
      </c>
      <c r="N32" s="23">
        <v>4</v>
      </c>
      <c r="O32" s="23">
        <v>0</v>
      </c>
      <c r="P32" s="23">
        <v>3</v>
      </c>
      <c r="Q32" s="23">
        <v>0</v>
      </c>
      <c r="R32" s="25">
        <v>7</v>
      </c>
    </row>
    <row r="33" spans="1:18" x14ac:dyDescent="0.25">
      <c r="A33" s="43">
        <v>42174</v>
      </c>
      <c r="B33" s="43"/>
      <c r="C33" s="22" t="s">
        <v>36</v>
      </c>
      <c r="D33" s="23">
        <v>2</v>
      </c>
      <c r="E33" s="23">
        <v>8</v>
      </c>
      <c r="F33" s="38">
        <f t="shared" si="9"/>
        <v>0.25</v>
      </c>
      <c r="G33" s="23">
        <v>0</v>
      </c>
      <c r="H33" s="23">
        <v>1</v>
      </c>
      <c r="I33" s="38">
        <f t="shared" si="10"/>
        <v>0</v>
      </c>
      <c r="J33" s="23">
        <v>9</v>
      </c>
      <c r="K33" s="23">
        <v>10</v>
      </c>
      <c r="L33" s="38">
        <f t="shared" si="11"/>
        <v>0.9</v>
      </c>
      <c r="M33" s="23">
        <v>4</v>
      </c>
      <c r="N33" s="23">
        <v>2</v>
      </c>
      <c r="O33" s="23">
        <v>1</v>
      </c>
      <c r="P33" s="23">
        <v>1</v>
      </c>
      <c r="Q33" s="23">
        <v>1</v>
      </c>
      <c r="R33" s="25">
        <v>13</v>
      </c>
    </row>
    <row r="34" spans="1:18" x14ac:dyDescent="0.25">
      <c r="A34" s="43">
        <v>42175</v>
      </c>
      <c r="B34" s="43"/>
      <c r="C34" s="22" t="s">
        <v>36</v>
      </c>
      <c r="D34" s="23">
        <v>10</v>
      </c>
      <c r="E34" s="23">
        <v>18</v>
      </c>
      <c r="F34" s="38">
        <f t="shared" si="9"/>
        <v>0.55555555555555558</v>
      </c>
      <c r="G34" s="23">
        <v>3</v>
      </c>
      <c r="H34" s="23">
        <v>5</v>
      </c>
      <c r="I34" s="38">
        <f t="shared" si="10"/>
        <v>0.6</v>
      </c>
      <c r="J34" s="23">
        <v>1</v>
      </c>
      <c r="K34" s="23">
        <v>3</v>
      </c>
      <c r="L34" s="38">
        <f t="shared" si="11"/>
        <v>0.33333333333333331</v>
      </c>
      <c r="M34" s="23">
        <v>5</v>
      </c>
      <c r="N34" s="23">
        <v>3</v>
      </c>
      <c r="O34" s="23">
        <v>4</v>
      </c>
      <c r="P34" s="23">
        <v>2</v>
      </c>
      <c r="Q34" s="23">
        <v>0</v>
      </c>
      <c r="R34" s="25">
        <v>24</v>
      </c>
    </row>
    <row r="35" spans="1:18" x14ac:dyDescent="0.25">
      <c r="A35" s="43">
        <v>42175</v>
      </c>
      <c r="B35" s="43"/>
      <c r="C35" s="22" t="s">
        <v>37</v>
      </c>
      <c r="D35" s="23">
        <v>0</v>
      </c>
      <c r="E35" s="23">
        <v>0</v>
      </c>
      <c r="F35" s="38">
        <f t="shared" si="9"/>
        <v>0</v>
      </c>
      <c r="G35" s="23">
        <v>0</v>
      </c>
      <c r="H35" s="23">
        <v>0</v>
      </c>
      <c r="I35" s="38">
        <f t="shared" si="10"/>
        <v>0</v>
      </c>
      <c r="J35" s="23">
        <v>0</v>
      </c>
      <c r="K35" s="23">
        <v>2</v>
      </c>
      <c r="L35" s="38">
        <f t="shared" si="11"/>
        <v>0</v>
      </c>
      <c r="M35" s="23">
        <v>0</v>
      </c>
      <c r="N35" s="23">
        <v>0</v>
      </c>
      <c r="O35" s="23">
        <v>0</v>
      </c>
      <c r="P35" s="23">
        <v>1</v>
      </c>
      <c r="Q35" s="23">
        <v>0</v>
      </c>
      <c r="R35" s="25">
        <v>0</v>
      </c>
    </row>
    <row r="36" spans="1:18" x14ac:dyDescent="0.25">
      <c r="A36" s="43">
        <v>42176</v>
      </c>
      <c r="B36" s="43"/>
      <c r="C36" s="22" t="s">
        <v>38</v>
      </c>
      <c r="D36" s="23">
        <v>6</v>
      </c>
      <c r="E36" s="23">
        <v>10</v>
      </c>
      <c r="F36" s="38">
        <f t="shared" si="9"/>
        <v>0.6</v>
      </c>
      <c r="G36" s="23">
        <v>0</v>
      </c>
      <c r="H36" s="23">
        <v>0</v>
      </c>
      <c r="I36" s="38">
        <f t="shared" si="10"/>
        <v>0</v>
      </c>
      <c r="J36" s="23">
        <v>6</v>
      </c>
      <c r="K36" s="23">
        <v>6</v>
      </c>
      <c r="L36" s="38">
        <f t="shared" si="11"/>
        <v>1</v>
      </c>
      <c r="M36" s="23">
        <v>9</v>
      </c>
      <c r="N36" s="23">
        <v>1</v>
      </c>
      <c r="O36" s="23">
        <v>1</v>
      </c>
      <c r="P36" s="23">
        <v>2</v>
      </c>
      <c r="Q36" s="23">
        <v>1</v>
      </c>
      <c r="R36" s="25">
        <v>18</v>
      </c>
    </row>
    <row r="37" spans="1:18" x14ac:dyDescent="0.25">
      <c r="A37" s="43">
        <v>42176</v>
      </c>
      <c r="B37" s="43"/>
      <c r="C37" s="22" t="s">
        <v>35</v>
      </c>
      <c r="D37" s="23">
        <v>2</v>
      </c>
      <c r="E37" s="23">
        <v>8</v>
      </c>
      <c r="F37" s="38">
        <f t="shared" si="9"/>
        <v>0.25</v>
      </c>
      <c r="G37" s="23">
        <v>0</v>
      </c>
      <c r="H37" s="23">
        <v>4</v>
      </c>
      <c r="I37" s="38">
        <f t="shared" si="10"/>
        <v>0</v>
      </c>
      <c r="J37" s="23">
        <v>1</v>
      </c>
      <c r="K37" s="23">
        <v>2</v>
      </c>
      <c r="L37" s="38">
        <f t="shared" si="11"/>
        <v>0.5</v>
      </c>
      <c r="M37" s="23">
        <v>3</v>
      </c>
      <c r="N37" s="23">
        <v>1</v>
      </c>
      <c r="O37" s="23">
        <v>0</v>
      </c>
      <c r="P37" s="23">
        <v>1</v>
      </c>
      <c r="Q37" s="23">
        <v>0</v>
      </c>
      <c r="R37" s="25">
        <v>5</v>
      </c>
    </row>
    <row r="38" spans="1:18" x14ac:dyDescent="0.25">
      <c r="A38" s="43">
        <v>42176</v>
      </c>
      <c r="B38" s="43"/>
      <c r="C38" s="22" t="s">
        <v>39</v>
      </c>
      <c r="D38" s="23">
        <v>0</v>
      </c>
      <c r="E38" s="23">
        <v>2</v>
      </c>
      <c r="F38" s="38">
        <f t="shared" si="9"/>
        <v>0</v>
      </c>
      <c r="G38" s="23">
        <v>0</v>
      </c>
      <c r="H38" s="23">
        <v>0</v>
      </c>
      <c r="I38" s="38">
        <f t="shared" si="10"/>
        <v>0</v>
      </c>
      <c r="J38" s="23">
        <v>2</v>
      </c>
      <c r="K38" s="23">
        <v>2</v>
      </c>
      <c r="L38" s="38">
        <f t="shared" si="11"/>
        <v>1</v>
      </c>
      <c r="M38" s="23">
        <v>1</v>
      </c>
      <c r="N38" s="23">
        <v>2</v>
      </c>
      <c r="O38" s="23">
        <v>0</v>
      </c>
      <c r="P38" s="23">
        <v>3</v>
      </c>
      <c r="Q38" s="23">
        <v>0</v>
      </c>
      <c r="R38" s="25">
        <v>2</v>
      </c>
    </row>
    <row r="39" spans="1:18" x14ac:dyDescent="0.25">
      <c r="A39" s="43">
        <v>42179</v>
      </c>
      <c r="B39" s="43"/>
      <c r="C39" s="22" t="s">
        <v>36</v>
      </c>
      <c r="D39" s="23">
        <v>6</v>
      </c>
      <c r="E39" s="23">
        <v>18</v>
      </c>
      <c r="F39" s="38">
        <f t="shared" si="9"/>
        <v>0.33333333333333331</v>
      </c>
      <c r="G39" s="23">
        <v>1</v>
      </c>
      <c r="H39" s="23">
        <v>3</v>
      </c>
      <c r="I39" s="38">
        <f t="shared" si="10"/>
        <v>0.33333333333333331</v>
      </c>
      <c r="J39" s="23">
        <v>6</v>
      </c>
      <c r="K39" s="23">
        <v>7</v>
      </c>
      <c r="L39" s="38">
        <f t="shared" si="11"/>
        <v>0.8571428571428571</v>
      </c>
      <c r="M39" s="23">
        <v>3</v>
      </c>
      <c r="N39" s="23">
        <v>2</v>
      </c>
      <c r="O39" s="23">
        <v>0</v>
      </c>
      <c r="P39" s="23">
        <v>2</v>
      </c>
      <c r="Q39" s="23">
        <v>0</v>
      </c>
      <c r="R39" s="25">
        <v>19</v>
      </c>
    </row>
    <row r="40" spans="1:18" x14ac:dyDescent="0.25">
      <c r="A40" s="21">
        <v>42179</v>
      </c>
      <c r="B40" s="20"/>
      <c r="C40" s="15" t="s">
        <v>39</v>
      </c>
      <c r="D40" s="16">
        <v>0</v>
      </c>
      <c r="E40" s="16">
        <v>0</v>
      </c>
      <c r="F40" s="19">
        <f t="shared" si="9"/>
        <v>0</v>
      </c>
      <c r="G40" s="16">
        <v>0</v>
      </c>
      <c r="H40" s="16">
        <v>0</v>
      </c>
      <c r="I40" s="19">
        <f t="shared" si="10"/>
        <v>0</v>
      </c>
      <c r="J40" s="16">
        <v>0</v>
      </c>
      <c r="K40" s="16">
        <v>0</v>
      </c>
      <c r="L40" s="19">
        <f t="shared" si="11"/>
        <v>0</v>
      </c>
      <c r="M40" s="16">
        <v>0</v>
      </c>
      <c r="N40" s="16">
        <v>1</v>
      </c>
      <c r="O40" s="16">
        <v>0</v>
      </c>
      <c r="P40" s="16">
        <v>0</v>
      </c>
      <c r="Q40" s="16">
        <v>0</v>
      </c>
      <c r="R40" s="16">
        <v>0</v>
      </c>
    </row>
    <row r="41" spans="1:18" x14ac:dyDescent="0.25">
      <c r="A41" s="21">
        <v>42179</v>
      </c>
      <c r="B41" s="20"/>
      <c r="C41" s="15" t="s">
        <v>37</v>
      </c>
      <c r="D41" s="16">
        <v>0</v>
      </c>
      <c r="E41" s="16">
        <v>1</v>
      </c>
      <c r="F41" s="19">
        <f t="shared" si="9"/>
        <v>0</v>
      </c>
      <c r="G41" s="16">
        <v>0</v>
      </c>
      <c r="H41" s="16">
        <v>0</v>
      </c>
      <c r="I41" s="19">
        <f t="shared" si="10"/>
        <v>0</v>
      </c>
      <c r="J41" s="16">
        <v>0</v>
      </c>
      <c r="K41" s="16">
        <v>0</v>
      </c>
      <c r="L41" s="19">
        <f t="shared" si="11"/>
        <v>0</v>
      </c>
      <c r="M41" s="16">
        <v>0</v>
      </c>
      <c r="N41" s="16">
        <v>0</v>
      </c>
      <c r="O41" s="16">
        <v>1</v>
      </c>
      <c r="P41" s="16">
        <v>0</v>
      </c>
      <c r="Q41" s="16">
        <v>0</v>
      </c>
      <c r="R41" s="16">
        <v>0</v>
      </c>
    </row>
    <row r="42" spans="1:18" x14ac:dyDescent="0.25">
      <c r="A42" s="21">
        <v>42180</v>
      </c>
      <c r="B42" s="20"/>
      <c r="C42" s="15" t="s">
        <v>38</v>
      </c>
      <c r="D42" s="16">
        <v>2</v>
      </c>
      <c r="E42" s="16">
        <v>5</v>
      </c>
      <c r="F42" s="19">
        <f t="shared" si="9"/>
        <v>0.4</v>
      </c>
      <c r="G42" s="16">
        <v>0</v>
      </c>
      <c r="H42" s="16">
        <v>0</v>
      </c>
      <c r="I42" s="19">
        <f t="shared" si="10"/>
        <v>0</v>
      </c>
      <c r="J42" s="16">
        <v>0</v>
      </c>
      <c r="K42" s="16">
        <v>0</v>
      </c>
      <c r="L42" s="19">
        <f t="shared" si="11"/>
        <v>0</v>
      </c>
      <c r="M42" s="16">
        <v>7</v>
      </c>
      <c r="N42" s="16">
        <v>1</v>
      </c>
      <c r="O42" s="16">
        <v>2</v>
      </c>
      <c r="P42" s="16">
        <v>1</v>
      </c>
      <c r="Q42" s="16">
        <v>1</v>
      </c>
      <c r="R42" s="16">
        <v>4</v>
      </c>
    </row>
    <row r="43" spans="1:18" x14ac:dyDescent="0.25">
      <c r="A43" s="21">
        <v>42181</v>
      </c>
      <c r="B43" s="20"/>
      <c r="C43" s="15" t="s">
        <v>36</v>
      </c>
      <c r="D43" s="16">
        <v>10</v>
      </c>
      <c r="E43" s="16">
        <v>17</v>
      </c>
      <c r="F43" s="19">
        <f t="shared" si="9"/>
        <v>0.58823529411764708</v>
      </c>
      <c r="G43" s="16">
        <v>1</v>
      </c>
      <c r="H43" s="16">
        <v>4</v>
      </c>
      <c r="I43" s="19">
        <f t="shared" si="10"/>
        <v>0.25</v>
      </c>
      <c r="J43" s="16">
        <v>2</v>
      </c>
      <c r="K43" s="16">
        <v>2</v>
      </c>
      <c r="L43" s="19">
        <f t="shared" si="11"/>
        <v>1</v>
      </c>
      <c r="M43" s="16">
        <v>2</v>
      </c>
      <c r="N43" s="16">
        <v>1</v>
      </c>
      <c r="O43" s="16">
        <v>2</v>
      </c>
      <c r="P43" s="16">
        <v>1</v>
      </c>
      <c r="Q43" s="16">
        <v>0</v>
      </c>
      <c r="R43" s="16">
        <v>23</v>
      </c>
    </row>
    <row r="44" spans="1:18" x14ac:dyDescent="0.25">
      <c r="A44" s="21">
        <v>42181</v>
      </c>
      <c r="B44" s="20"/>
      <c r="C44" s="15" t="s">
        <v>35</v>
      </c>
      <c r="D44" s="16">
        <v>3</v>
      </c>
      <c r="E44" s="16">
        <v>8</v>
      </c>
      <c r="F44" s="19">
        <f t="shared" si="9"/>
        <v>0.375</v>
      </c>
      <c r="G44" s="16">
        <v>2</v>
      </c>
      <c r="H44" s="16">
        <v>4</v>
      </c>
      <c r="I44" s="19">
        <f t="shared" si="10"/>
        <v>0.5</v>
      </c>
      <c r="J44" s="16">
        <v>0</v>
      </c>
      <c r="K44" s="16">
        <v>0</v>
      </c>
      <c r="L44" s="19">
        <f t="shared" si="11"/>
        <v>0</v>
      </c>
      <c r="M44" s="16">
        <v>6</v>
      </c>
      <c r="N44" s="16">
        <v>1</v>
      </c>
      <c r="O44" s="16">
        <v>0</v>
      </c>
      <c r="P44" s="16">
        <v>1</v>
      </c>
      <c r="Q44" s="16">
        <v>2</v>
      </c>
      <c r="R44" s="16">
        <v>8</v>
      </c>
    </row>
    <row r="45" spans="1:18" x14ac:dyDescent="0.25">
      <c r="A45" s="21">
        <v>42181</v>
      </c>
      <c r="B45" s="20"/>
      <c r="C45" s="15" t="s">
        <v>37</v>
      </c>
      <c r="D45" s="16">
        <v>0</v>
      </c>
      <c r="E45" s="16">
        <v>0</v>
      </c>
      <c r="F45" s="19">
        <f t="shared" si="9"/>
        <v>0</v>
      </c>
      <c r="G45" s="16">
        <v>0</v>
      </c>
      <c r="H45" s="16">
        <v>0</v>
      </c>
      <c r="I45" s="19">
        <f t="shared" si="10"/>
        <v>0</v>
      </c>
      <c r="J45" s="16">
        <v>1</v>
      </c>
      <c r="K45" s="16">
        <v>2</v>
      </c>
      <c r="L45" s="19">
        <f t="shared" si="11"/>
        <v>0.5</v>
      </c>
      <c r="M45" s="16">
        <v>1</v>
      </c>
      <c r="N45" s="16">
        <v>0</v>
      </c>
      <c r="O45" s="16">
        <v>0</v>
      </c>
      <c r="P45" s="16">
        <v>0</v>
      </c>
      <c r="Q45" s="16">
        <v>0</v>
      </c>
      <c r="R45" s="16">
        <v>1</v>
      </c>
    </row>
    <row r="46" spans="1:18" x14ac:dyDescent="0.25">
      <c r="A46" s="43">
        <v>42182</v>
      </c>
      <c r="B46" s="43"/>
      <c r="C46" s="22" t="s">
        <v>122</v>
      </c>
      <c r="D46" s="23">
        <v>5</v>
      </c>
      <c r="E46" s="23">
        <v>9</v>
      </c>
      <c r="F46" s="38">
        <f t="shared" ref="F46:F62" si="12">IF(E46=0,0,D46/E46)</f>
        <v>0.55555555555555558</v>
      </c>
      <c r="G46" s="23">
        <v>0</v>
      </c>
      <c r="H46" s="23">
        <v>0</v>
      </c>
      <c r="I46" s="38">
        <f t="shared" ref="I46:I62" si="13">IF(H46=0,0,G46/H46)</f>
        <v>0</v>
      </c>
      <c r="J46" s="23">
        <v>4</v>
      </c>
      <c r="K46" s="23">
        <v>5</v>
      </c>
      <c r="L46" s="38">
        <f t="shared" ref="L46:L62" si="14">IF(K46=0,0,J46/K46)</f>
        <v>0.8</v>
      </c>
      <c r="M46" s="23">
        <v>11</v>
      </c>
      <c r="N46" s="23">
        <v>0</v>
      </c>
      <c r="O46" s="23">
        <v>0</v>
      </c>
      <c r="P46" s="23">
        <v>3</v>
      </c>
      <c r="Q46" s="23">
        <v>2</v>
      </c>
      <c r="R46" s="25">
        <v>14</v>
      </c>
    </row>
    <row r="47" spans="1:18" x14ac:dyDescent="0.25">
      <c r="A47" s="43">
        <v>42182</v>
      </c>
      <c r="B47" s="43"/>
      <c r="C47" s="22" t="s">
        <v>38</v>
      </c>
      <c r="D47" s="23">
        <v>5</v>
      </c>
      <c r="E47" s="23">
        <v>9</v>
      </c>
      <c r="F47" s="38">
        <f t="shared" si="12"/>
        <v>0.55555555555555558</v>
      </c>
      <c r="G47" s="23">
        <v>1</v>
      </c>
      <c r="H47" s="23">
        <v>2</v>
      </c>
      <c r="I47" s="38">
        <f t="shared" si="13"/>
        <v>0.5</v>
      </c>
      <c r="J47" s="23">
        <v>3</v>
      </c>
      <c r="K47" s="23">
        <v>4</v>
      </c>
      <c r="L47" s="38">
        <f t="shared" si="14"/>
        <v>0.75</v>
      </c>
      <c r="M47" s="23">
        <v>13</v>
      </c>
      <c r="N47" s="23">
        <v>1</v>
      </c>
      <c r="O47" s="23">
        <v>3</v>
      </c>
      <c r="P47" s="23">
        <v>2</v>
      </c>
      <c r="Q47" s="23">
        <v>3</v>
      </c>
      <c r="R47" s="25">
        <v>14</v>
      </c>
    </row>
    <row r="48" spans="1:18" x14ac:dyDescent="0.25">
      <c r="A48" s="43">
        <v>42183</v>
      </c>
      <c r="B48" s="43"/>
      <c r="C48" s="22" t="s">
        <v>36</v>
      </c>
      <c r="D48" s="23">
        <v>5</v>
      </c>
      <c r="E48" s="23">
        <v>13</v>
      </c>
      <c r="F48" s="38">
        <f t="shared" si="12"/>
        <v>0.38461538461538464</v>
      </c>
      <c r="G48" s="23">
        <v>0</v>
      </c>
      <c r="H48" s="23">
        <v>1</v>
      </c>
      <c r="I48" s="38">
        <f t="shared" si="13"/>
        <v>0</v>
      </c>
      <c r="J48" s="23">
        <v>0</v>
      </c>
      <c r="K48" s="23">
        <v>0</v>
      </c>
      <c r="L48" s="38">
        <f t="shared" si="14"/>
        <v>0</v>
      </c>
      <c r="M48" s="23">
        <v>1</v>
      </c>
      <c r="N48" s="23">
        <v>2</v>
      </c>
      <c r="O48" s="23">
        <v>0</v>
      </c>
      <c r="P48" s="23">
        <v>0</v>
      </c>
      <c r="Q48" s="23">
        <v>0</v>
      </c>
      <c r="R48" s="25">
        <v>10</v>
      </c>
    </row>
    <row r="49" spans="1:18" x14ac:dyDescent="0.25">
      <c r="A49" s="43">
        <v>42183</v>
      </c>
      <c r="B49" s="43"/>
      <c r="C49" s="22" t="s">
        <v>37</v>
      </c>
      <c r="D49" s="23">
        <v>0</v>
      </c>
      <c r="E49" s="23">
        <v>0</v>
      </c>
      <c r="F49" s="38">
        <f t="shared" si="12"/>
        <v>0</v>
      </c>
      <c r="G49" s="23">
        <v>0</v>
      </c>
      <c r="H49" s="23">
        <v>0</v>
      </c>
      <c r="I49" s="38">
        <f t="shared" si="13"/>
        <v>0</v>
      </c>
      <c r="J49" s="23">
        <v>0</v>
      </c>
      <c r="K49" s="23">
        <v>0</v>
      </c>
      <c r="L49" s="38">
        <f t="shared" si="14"/>
        <v>0</v>
      </c>
      <c r="M49" s="23">
        <v>1</v>
      </c>
      <c r="N49" s="23">
        <v>0</v>
      </c>
      <c r="O49" s="23">
        <v>0</v>
      </c>
      <c r="P49" s="23">
        <v>0</v>
      </c>
      <c r="Q49" s="23">
        <v>0</v>
      </c>
      <c r="R49" s="25">
        <v>0</v>
      </c>
    </row>
    <row r="50" spans="1:18" x14ac:dyDescent="0.25">
      <c r="A50" s="43">
        <v>42183</v>
      </c>
      <c r="B50" s="43"/>
      <c r="C50" s="22" t="s">
        <v>35</v>
      </c>
      <c r="D50" s="23">
        <v>1</v>
      </c>
      <c r="E50" s="23">
        <v>8</v>
      </c>
      <c r="F50" s="38">
        <f t="shared" si="12"/>
        <v>0.125</v>
      </c>
      <c r="G50" s="23">
        <v>1</v>
      </c>
      <c r="H50" s="23">
        <v>5</v>
      </c>
      <c r="I50" s="38">
        <f t="shared" si="13"/>
        <v>0.2</v>
      </c>
      <c r="J50" s="23">
        <v>4</v>
      </c>
      <c r="K50" s="23">
        <v>6</v>
      </c>
      <c r="L50" s="38">
        <f t="shared" si="14"/>
        <v>0.66666666666666663</v>
      </c>
      <c r="M50" s="23">
        <v>9</v>
      </c>
      <c r="N50" s="23">
        <v>2</v>
      </c>
      <c r="O50" s="23">
        <v>1</v>
      </c>
      <c r="P50" s="23">
        <v>1</v>
      </c>
      <c r="Q50" s="23">
        <v>0</v>
      </c>
      <c r="R50" s="25">
        <v>7</v>
      </c>
    </row>
    <row r="51" spans="1:18" x14ac:dyDescent="0.25">
      <c r="A51" s="43">
        <v>42185</v>
      </c>
      <c r="B51" s="43"/>
      <c r="C51" s="22" t="s">
        <v>36</v>
      </c>
      <c r="D51" s="23">
        <v>6</v>
      </c>
      <c r="E51" s="23">
        <v>17</v>
      </c>
      <c r="F51" s="38">
        <f t="shared" si="12"/>
        <v>0.35294117647058826</v>
      </c>
      <c r="G51" s="23">
        <v>2</v>
      </c>
      <c r="H51" s="23">
        <v>9</v>
      </c>
      <c r="I51" s="38">
        <f t="shared" si="13"/>
        <v>0.22222222222222221</v>
      </c>
      <c r="J51" s="23">
        <v>5</v>
      </c>
      <c r="K51" s="23">
        <v>5</v>
      </c>
      <c r="L51" s="38">
        <f t="shared" si="14"/>
        <v>1</v>
      </c>
      <c r="M51" s="23">
        <v>3</v>
      </c>
      <c r="N51" s="23">
        <v>1</v>
      </c>
      <c r="O51" s="23">
        <v>2</v>
      </c>
      <c r="P51" s="23">
        <v>1</v>
      </c>
      <c r="Q51" s="23">
        <v>0</v>
      </c>
      <c r="R51" s="25">
        <v>19</v>
      </c>
    </row>
    <row r="52" spans="1:18" x14ac:dyDescent="0.25">
      <c r="A52" s="43">
        <v>42185</v>
      </c>
      <c r="B52" s="43"/>
      <c r="C52" s="22" t="s">
        <v>35</v>
      </c>
      <c r="D52" s="23">
        <v>2</v>
      </c>
      <c r="E52" s="23">
        <v>7</v>
      </c>
      <c r="F52" s="38">
        <f t="shared" si="12"/>
        <v>0.2857142857142857</v>
      </c>
      <c r="G52" s="23">
        <v>1</v>
      </c>
      <c r="H52" s="23">
        <v>2</v>
      </c>
      <c r="I52" s="38">
        <f t="shared" si="13"/>
        <v>0.5</v>
      </c>
      <c r="J52" s="23">
        <v>2</v>
      </c>
      <c r="K52" s="23">
        <v>2</v>
      </c>
      <c r="L52" s="38">
        <f t="shared" si="14"/>
        <v>1</v>
      </c>
      <c r="M52" s="23">
        <v>4</v>
      </c>
      <c r="N52" s="23">
        <v>2</v>
      </c>
      <c r="O52" s="23">
        <v>1</v>
      </c>
      <c r="P52" s="23">
        <v>2</v>
      </c>
      <c r="Q52" s="23">
        <v>0</v>
      </c>
      <c r="R52" s="25">
        <v>7</v>
      </c>
    </row>
    <row r="53" spans="1:18" x14ac:dyDescent="0.25">
      <c r="A53" s="43">
        <v>42185</v>
      </c>
      <c r="B53" s="43"/>
      <c r="C53" s="22" t="s">
        <v>122</v>
      </c>
      <c r="D53" s="23">
        <v>9</v>
      </c>
      <c r="E53" s="23">
        <v>15</v>
      </c>
      <c r="F53" s="38">
        <f t="shared" si="12"/>
        <v>0.6</v>
      </c>
      <c r="G53" s="23">
        <v>0</v>
      </c>
      <c r="H53" s="23">
        <v>0</v>
      </c>
      <c r="I53" s="38">
        <f t="shared" si="13"/>
        <v>0</v>
      </c>
      <c r="J53" s="23">
        <v>5</v>
      </c>
      <c r="K53" s="23">
        <v>8</v>
      </c>
      <c r="L53" s="38">
        <f t="shared" si="14"/>
        <v>0.625</v>
      </c>
      <c r="M53" s="23">
        <v>8</v>
      </c>
      <c r="N53" s="23">
        <v>3</v>
      </c>
      <c r="O53" s="23">
        <v>1</v>
      </c>
      <c r="P53" s="23">
        <v>3</v>
      </c>
      <c r="Q53" s="23">
        <v>4</v>
      </c>
      <c r="R53" s="25">
        <v>23</v>
      </c>
    </row>
    <row r="54" spans="1:18" x14ac:dyDescent="0.25">
      <c r="A54" s="14">
        <v>42187</v>
      </c>
      <c r="B54" s="15"/>
      <c r="C54" s="50" t="s">
        <v>137</v>
      </c>
      <c r="D54" s="48">
        <v>4</v>
      </c>
      <c r="E54" s="48">
        <v>9</v>
      </c>
      <c r="F54" s="49">
        <f t="shared" si="12"/>
        <v>0.44444444444444442</v>
      </c>
      <c r="G54" s="48">
        <v>0</v>
      </c>
      <c r="H54" s="48">
        <v>1</v>
      </c>
      <c r="I54" s="49">
        <f t="shared" si="13"/>
        <v>0</v>
      </c>
      <c r="J54" s="48">
        <v>0</v>
      </c>
      <c r="K54" s="48">
        <v>0</v>
      </c>
      <c r="L54" s="49">
        <f t="shared" si="14"/>
        <v>0</v>
      </c>
      <c r="M54" s="48">
        <v>4</v>
      </c>
      <c r="N54" s="48">
        <v>4</v>
      </c>
      <c r="O54" s="48">
        <v>0</v>
      </c>
      <c r="P54" s="48">
        <v>3</v>
      </c>
      <c r="Q54" s="48">
        <v>0</v>
      </c>
      <c r="R54" s="48">
        <v>8</v>
      </c>
    </row>
    <row r="55" spans="1:18" x14ac:dyDescent="0.25">
      <c r="A55" s="21">
        <v>42187</v>
      </c>
      <c r="B55" s="20"/>
      <c r="C55" s="15" t="s">
        <v>84</v>
      </c>
      <c r="D55" s="16">
        <v>2</v>
      </c>
      <c r="E55" s="16">
        <v>6</v>
      </c>
      <c r="F55" s="46">
        <f t="shared" si="12"/>
        <v>0.33333333333333331</v>
      </c>
      <c r="G55" s="16">
        <v>0</v>
      </c>
      <c r="H55" s="16">
        <v>1</v>
      </c>
      <c r="I55" s="46">
        <f t="shared" si="13"/>
        <v>0</v>
      </c>
      <c r="J55" s="16">
        <v>3</v>
      </c>
      <c r="K55" s="16">
        <v>3</v>
      </c>
      <c r="L55" s="46">
        <f t="shared" si="14"/>
        <v>1</v>
      </c>
      <c r="M55" s="16">
        <v>3</v>
      </c>
      <c r="N55" s="16">
        <v>3</v>
      </c>
      <c r="O55" s="16">
        <v>2</v>
      </c>
      <c r="P55" s="16">
        <v>2</v>
      </c>
      <c r="Q55" s="16">
        <v>0</v>
      </c>
      <c r="R55" s="16">
        <v>7</v>
      </c>
    </row>
    <row r="56" spans="1:18" x14ac:dyDescent="0.25">
      <c r="A56" s="21">
        <v>42187</v>
      </c>
      <c r="B56" s="20"/>
      <c r="C56" s="15" t="s">
        <v>35</v>
      </c>
      <c r="D56" s="16">
        <v>4</v>
      </c>
      <c r="E56" s="16">
        <v>8</v>
      </c>
      <c r="F56" s="46">
        <f t="shared" si="12"/>
        <v>0.5</v>
      </c>
      <c r="G56" s="16">
        <v>1</v>
      </c>
      <c r="H56" s="16">
        <v>3</v>
      </c>
      <c r="I56" s="46">
        <f t="shared" si="13"/>
        <v>0.33333333333333331</v>
      </c>
      <c r="J56" s="16">
        <v>2</v>
      </c>
      <c r="K56" s="16">
        <v>4</v>
      </c>
      <c r="L56" s="46">
        <f t="shared" si="14"/>
        <v>0.5</v>
      </c>
      <c r="M56" s="16">
        <v>10</v>
      </c>
      <c r="N56" s="16">
        <v>4</v>
      </c>
      <c r="O56" s="16">
        <v>1</v>
      </c>
      <c r="P56" s="16">
        <v>2</v>
      </c>
      <c r="Q56" s="16">
        <v>0</v>
      </c>
      <c r="R56" s="16">
        <v>11</v>
      </c>
    </row>
    <row r="57" spans="1:18" x14ac:dyDescent="0.25">
      <c r="A57" s="43">
        <v>42187</v>
      </c>
      <c r="B57" s="43"/>
      <c r="C57" s="22" t="s">
        <v>122</v>
      </c>
      <c r="D57" s="23">
        <v>5</v>
      </c>
      <c r="E57" s="23">
        <v>6</v>
      </c>
      <c r="F57" s="38">
        <f t="shared" si="12"/>
        <v>0.83333333333333337</v>
      </c>
      <c r="G57" s="23">
        <v>0</v>
      </c>
      <c r="H57" s="23">
        <v>0</v>
      </c>
      <c r="I57" s="38">
        <f t="shared" si="13"/>
        <v>0</v>
      </c>
      <c r="J57" s="23">
        <v>3</v>
      </c>
      <c r="K57" s="23">
        <v>3</v>
      </c>
      <c r="L57" s="38">
        <f t="shared" si="14"/>
        <v>1</v>
      </c>
      <c r="M57" s="23">
        <v>8</v>
      </c>
      <c r="N57" s="23">
        <v>0</v>
      </c>
      <c r="O57" s="23">
        <v>0</v>
      </c>
      <c r="P57" s="23">
        <v>2</v>
      </c>
      <c r="Q57" s="23">
        <v>7</v>
      </c>
      <c r="R57" s="25">
        <v>13</v>
      </c>
    </row>
    <row r="58" spans="1:18" x14ac:dyDescent="0.25">
      <c r="A58" s="43">
        <v>42188</v>
      </c>
      <c r="B58" s="43"/>
      <c r="C58" s="22" t="s">
        <v>38</v>
      </c>
      <c r="D58" s="23">
        <v>2</v>
      </c>
      <c r="E58" s="23">
        <v>6</v>
      </c>
      <c r="F58" s="38">
        <f t="shared" si="12"/>
        <v>0.33333333333333331</v>
      </c>
      <c r="G58" s="23">
        <v>0</v>
      </c>
      <c r="H58" s="23">
        <v>1</v>
      </c>
      <c r="I58" s="38">
        <f t="shared" si="13"/>
        <v>0</v>
      </c>
      <c r="J58" s="23">
        <v>2</v>
      </c>
      <c r="K58" s="23">
        <v>2</v>
      </c>
      <c r="L58" s="38">
        <f t="shared" si="14"/>
        <v>1</v>
      </c>
      <c r="M58" s="23">
        <v>4</v>
      </c>
      <c r="N58" s="23">
        <v>1</v>
      </c>
      <c r="O58" s="23">
        <v>1</v>
      </c>
      <c r="P58" s="23">
        <v>1</v>
      </c>
      <c r="Q58" s="23">
        <v>1</v>
      </c>
      <c r="R58" s="25">
        <v>6</v>
      </c>
    </row>
    <row r="59" spans="1:18" x14ac:dyDescent="0.25">
      <c r="A59" s="43">
        <v>42188</v>
      </c>
      <c r="B59" s="43"/>
      <c r="C59" s="22" t="s">
        <v>35</v>
      </c>
      <c r="D59" s="23">
        <v>7</v>
      </c>
      <c r="E59" s="23">
        <v>12</v>
      </c>
      <c r="F59" s="38">
        <f t="shared" si="12"/>
        <v>0.58333333333333337</v>
      </c>
      <c r="G59" s="23">
        <v>2</v>
      </c>
      <c r="H59" s="23">
        <v>2</v>
      </c>
      <c r="I59" s="38">
        <f t="shared" si="13"/>
        <v>1</v>
      </c>
      <c r="J59" s="23">
        <v>4</v>
      </c>
      <c r="K59" s="23">
        <v>4</v>
      </c>
      <c r="L59" s="38">
        <f t="shared" si="14"/>
        <v>1</v>
      </c>
      <c r="M59" s="23">
        <v>8</v>
      </c>
      <c r="N59" s="23">
        <v>2</v>
      </c>
      <c r="O59" s="23">
        <v>1</v>
      </c>
      <c r="P59" s="23">
        <v>0</v>
      </c>
      <c r="Q59" s="23">
        <v>0</v>
      </c>
      <c r="R59" s="25">
        <v>20</v>
      </c>
    </row>
    <row r="60" spans="1:18" x14ac:dyDescent="0.25">
      <c r="A60" s="43">
        <v>42188</v>
      </c>
      <c r="B60" s="43"/>
      <c r="C60" s="22" t="s">
        <v>84</v>
      </c>
      <c r="D60" s="23">
        <v>1</v>
      </c>
      <c r="E60" s="23">
        <v>4</v>
      </c>
      <c r="F60" s="38">
        <f t="shared" si="12"/>
        <v>0.25</v>
      </c>
      <c r="G60" s="23">
        <v>1</v>
      </c>
      <c r="H60" s="23">
        <v>3</v>
      </c>
      <c r="I60" s="38">
        <f t="shared" si="13"/>
        <v>0.33333333333333331</v>
      </c>
      <c r="J60" s="23">
        <v>0</v>
      </c>
      <c r="K60" s="23">
        <v>0</v>
      </c>
      <c r="L60" s="38">
        <f t="shared" si="14"/>
        <v>0</v>
      </c>
      <c r="M60" s="23">
        <v>4</v>
      </c>
      <c r="N60" s="23">
        <v>4</v>
      </c>
      <c r="O60" s="23">
        <v>1</v>
      </c>
      <c r="P60" s="23">
        <v>0</v>
      </c>
      <c r="Q60" s="23">
        <v>0</v>
      </c>
      <c r="R60" s="25">
        <v>3</v>
      </c>
    </row>
    <row r="61" spans="1:18" x14ac:dyDescent="0.25">
      <c r="A61" s="43">
        <v>42190</v>
      </c>
      <c r="B61" s="43"/>
      <c r="C61" s="22" t="s">
        <v>122</v>
      </c>
      <c r="D61" s="23">
        <v>6</v>
      </c>
      <c r="E61" s="23">
        <v>13</v>
      </c>
      <c r="F61" s="38">
        <f t="shared" si="12"/>
        <v>0.46153846153846156</v>
      </c>
      <c r="G61" s="23">
        <v>0</v>
      </c>
      <c r="H61" s="23">
        <v>0</v>
      </c>
      <c r="I61" s="38">
        <f t="shared" si="13"/>
        <v>0</v>
      </c>
      <c r="J61" s="23">
        <v>7</v>
      </c>
      <c r="K61" s="23">
        <v>10</v>
      </c>
      <c r="L61" s="38">
        <f t="shared" si="14"/>
        <v>0.7</v>
      </c>
      <c r="M61" s="23">
        <v>10</v>
      </c>
      <c r="N61" s="23">
        <v>4</v>
      </c>
      <c r="O61" s="23">
        <v>0</v>
      </c>
      <c r="P61" s="23">
        <v>1</v>
      </c>
      <c r="Q61" s="23">
        <v>4</v>
      </c>
      <c r="R61" s="25">
        <v>19</v>
      </c>
    </row>
    <row r="62" spans="1:18" x14ac:dyDescent="0.25">
      <c r="A62" s="43">
        <v>42190</v>
      </c>
      <c r="B62" s="43"/>
      <c r="C62" s="22" t="s">
        <v>84</v>
      </c>
      <c r="D62" s="23">
        <v>5</v>
      </c>
      <c r="E62" s="23">
        <v>13</v>
      </c>
      <c r="F62" s="38">
        <f t="shared" si="12"/>
        <v>0.38461538461538464</v>
      </c>
      <c r="G62" s="23">
        <v>4</v>
      </c>
      <c r="H62" s="23">
        <v>6</v>
      </c>
      <c r="I62" s="38">
        <f t="shared" si="13"/>
        <v>0.66666666666666663</v>
      </c>
      <c r="J62" s="23">
        <v>6</v>
      </c>
      <c r="K62" s="23">
        <v>7</v>
      </c>
      <c r="L62" s="38">
        <f t="shared" si="14"/>
        <v>0.8571428571428571</v>
      </c>
      <c r="M62" s="23">
        <v>4</v>
      </c>
      <c r="N62" s="23">
        <v>5</v>
      </c>
      <c r="O62" s="23">
        <v>0</v>
      </c>
      <c r="P62" s="23">
        <v>2</v>
      </c>
      <c r="Q62" s="23">
        <v>0</v>
      </c>
      <c r="R62" s="25">
        <v>20</v>
      </c>
    </row>
    <row r="63" spans="1:18" x14ac:dyDescent="0.25">
      <c r="A63" s="43">
        <v>42192</v>
      </c>
      <c r="B63" s="43"/>
      <c r="C63" s="22" t="s">
        <v>35</v>
      </c>
      <c r="D63" s="23">
        <v>2</v>
      </c>
      <c r="E63" s="23">
        <v>6</v>
      </c>
      <c r="F63" s="38">
        <f t="shared" ref="F63:F72" si="15">IF(E63=0,0,D63/E63)</f>
        <v>0.33333333333333331</v>
      </c>
      <c r="G63" s="23">
        <v>1</v>
      </c>
      <c r="H63" s="23">
        <v>3</v>
      </c>
      <c r="I63" s="38">
        <f t="shared" ref="I63:I72" si="16">IF(H63=0,0,G63/H63)</f>
        <v>0.33333333333333331</v>
      </c>
      <c r="J63" s="23">
        <v>7</v>
      </c>
      <c r="K63" s="23">
        <v>10</v>
      </c>
      <c r="L63" s="38">
        <f t="shared" ref="L63:L72" si="17">IF(K63=0,0,J63/K63)</f>
        <v>0.7</v>
      </c>
      <c r="M63" s="23">
        <v>9</v>
      </c>
      <c r="N63" s="23">
        <v>2</v>
      </c>
      <c r="O63" s="23">
        <v>2</v>
      </c>
      <c r="P63" s="23">
        <v>5</v>
      </c>
      <c r="Q63" s="23">
        <v>0</v>
      </c>
      <c r="R63" s="25">
        <v>12</v>
      </c>
    </row>
    <row r="64" spans="1:18" x14ac:dyDescent="0.25">
      <c r="A64" s="43">
        <v>42193</v>
      </c>
      <c r="B64" s="43"/>
      <c r="C64" s="22" t="s">
        <v>84</v>
      </c>
      <c r="D64" s="23">
        <v>2</v>
      </c>
      <c r="E64" s="23">
        <v>9</v>
      </c>
      <c r="F64" s="38">
        <f t="shared" si="15"/>
        <v>0.22222222222222221</v>
      </c>
      <c r="G64" s="23">
        <v>2</v>
      </c>
      <c r="H64" s="23">
        <v>7</v>
      </c>
      <c r="I64" s="38">
        <f t="shared" si="16"/>
        <v>0.2857142857142857</v>
      </c>
      <c r="J64" s="23">
        <v>0</v>
      </c>
      <c r="K64" s="23">
        <v>0</v>
      </c>
      <c r="L64" s="38">
        <f t="shared" si="17"/>
        <v>0</v>
      </c>
      <c r="M64" s="23">
        <v>1</v>
      </c>
      <c r="N64" s="23">
        <v>1</v>
      </c>
      <c r="O64" s="23">
        <v>0</v>
      </c>
      <c r="P64" s="23">
        <v>1</v>
      </c>
      <c r="Q64" s="23">
        <v>0</v>
      </c>
      <c r="R64" s="25">
        <v>6</v>
      </c>
    </row>
    <row r="65" spans="1:18" x14ac:dyDescent="0.25">
      <c r="A65" s="43">
        <v>42195</v>
      </c>
      <c r="B65" s="43"/>
      <c r="C65" s="22" t="s">
        <v>36</v>
      </c>
      <c r="D65" s="23">
        <v>9</v>
      </c>
      <c r="E65" s="23">
        <v>17</v>
      </c>
      <c r="F65" s="38">
        <f t="shared" si="15"/>
        <v>0.52941176470588236</v>
      </c>
      <c r="G65" s="23">
        <v>3</v>
      </c>
      <c r="H65" s="23">
        <v>3</v>
      </c>
      <c r="I65" s="38">
        <f t="shared" si="16"/>
        <v>1</v>
      </c>
      <c r="J65" s="23">
        <v>3</v>
      </c>
      <c r="K65" s="23">
        <v>3</v>
      </c>
      <c r="L65" s="38">
        <f t="shared" si="17"/>
        <v>1</v>
      </c>
      <c r="M65" s="23">
        <v>4</v>
      </c>
      <c r="N65" s="23">
        <v>4</v>
      </c>
      <c r="O65" s="23">
        <v>2</v>
      </c>
      <c r="P65" s="23">
        <v>0</v>
      </c>
      <c r="Q65" s="23">
        <v>0</v>
      </c>
      <c r="R65" s="25">
        <v>24</v>
      </c>
    </row>
    <row r="66" spans="1:18" x14ac:dyDescent="0.25">
      <c r="A66" s="43">
        <v>42195</v>
      </c>
      <c r="B66" s="43"/>
      <c r="C66" s="22" t="s">
        <v>122</v>
      </c>
      <c r="D66" s="23">
        <v>5</v>
      </c>
      <c r="E66" s="23">
        <v>6</v>
      </c>
      <c r="F66" s="38">
        <f t="shared" si="15"/>
        <v>0.83333333333333337</v>
      </c>
      <c r="G66" s="23">
        <v>0</v>
      </c>
      <c r="H66" s="23">
        <v>0</v>
      </c>
      <c r="I66" s="38">
        <f t="shared" si="16"/>
        <v>0</v>
      </c>
      <c r="J66" s="23">
        <v>2</v>
      </c>
      <c r="K66" s="23">
        <v>4</v>
      </c>
      <c r="L66" s="38">
        <f t="shared" si="17"/>
        <v>0.5</v>
      </c>
      <c r="M66" s="23">
        <v>4</v>
      </c>
      <c r="N66" s="23">
        <v>1</v>
      </c>
      <c r="O66" s="23">
        <v>0</v>
      </c>
      <c r="P66" s="23">
        <v>0</v>
      </c>
      <c r="Q66" s="23">
        <v>4</v>
      </c>
      <c r="R66" s="25">
        <v>12</v>
      </c>
    </row>
    <row r="67" spans="1:18" x14ac:dyDescent="0.25">
      <c r="A67" s="43">
        <v>42195</v>
      </c>
      <c r="B67" s="43"/>
      <c r="C67" s="22" t="s">
        <v>38</v>
      </c>
      <c r="D67" s="23">
        <v>5</v>
      </c>
      <c r="E67" s="23">
        <v>9</v>
      </c>
      <c r="F67" s="38">
        <f t="shared" si="15"/>
        <v>0.55555555555555558</v>
      </c>
      <c r="G67" s="23">
        <v>0</v>
      </c>
      <c r="H67" s="23">
        <v>0</v>
      </c>
      <c r="I67" s="38">
        <f t="shared" si="16"/>
        <v>0</v>
      </c>
      <c r="J67" s="23">
        <v>2</v>
      </c>
      <c r="K67" s="23">
        <v>3</v>
      </c>
      <c r="L67" s="38">
        <f t="shared" si="17"/>
        <v>0.66666666666666663</v>
      </c>
      <c r="M67" s="23">
        <v>7</v>
      </c>
      <c r="N67" s="23">
        <v>1</v>
      </c>
      <c r="O67" s="23">
        <v>0</v>
      </c>
      <c r="P67" s="23">
        <v>2</v>
      </c>
      <c r="Q67" s="23">
        <v>0</v>
      </c>
      <c r="R67" s="25">
        <v>12</v>
      </c>
    </row>
    <row r="68" spans="1:18" x14ac:dyDescent="0.25">
      <c r="A68" s="43">
        <v>42196</v>
      </c>
      <c r="B68" s="43"/>
      <c r="C68" s="22" t="s">
        <v>35</v>
      </c>
      <c r="D68" s="23">
        <v>6</v>
      </c>
      <c r="E68" s="23">
        <v>8</v>
      </c>
      <c r="F68" s="38">
        <f t="shared" si="15"/>
        <v>0.75</v>
      </c>
      <c r="G68" s="23">
        <v>1</v>
      </c>
      <c r="H68" s="23">
        <v>2</v>
      </c>
      <c r="I68" s="38">
        <f t="shared" si="16"/>
        <v>0.5</v>
      </c>
      <c r="J68" s="23">
        <v>11</v>
      </c>
      <c r="K68" s="23">
        <v>12</v>
      </c>
      <c r="L68" s="38">
        <f t="shared" si="17"/>
        <v>0.91666666666666663</v>
      </c>
      <c r="M68" s="23">
        <v>5</v>
      </c>
      <c r="N68" s="23">
        <v>0</v>
      </c>
      <c r="O68" s="23">
        <v>2</v>
      </c>
      <c r="P68" s="23">
        <v>1</v>
      </c>
      <c r="Q68" s="23">
        <v>1</v>
      </c>
      <c r="R68" s="25">
        <v>24</v>
      </c>
    </row>
    <row r="69" spans="1:18" x14ac:dyDescent="0.25">
      <c r="A69" s="43">
        <v>42196</v>
      </c>
      <c r="B69" s="43"/>
      <c r="C69" s="22" t="s">
        <v>84</v>
      </c>
      <c r="D69" s="23">
        <v>1</v>
      </c>
      <c r="E69" s="23">
        <v>4</v>
      </c>
      <c r="F69" s="38">
        <f t="shared" si="15"/>
        <v>0.25</v>
      </c>
      <c r="G69" s="23">
        <v>1</v>
      </c>
      <c r="H69" s="23">
        <v>3</v>
      </c>
      <c r="I69" s="38">
        <f t="shared" si="16"/>
        <v>0.33333333333333331</v>
      </c>
      <c r="J69" s="23">
        <v>0</v>
      </c>
      <c r="K69" s="23">
        <v>0</v>
      </c>
      <c r="L69" s="38">
        <f t="shared" si="17"/>
        <v>0</v>
      </c>
      <c r="M69" s="23">
        <v>3</v>
      </c>
      <c r="N69" s="23">
        <v>0</v>
      </c>
      <c r="O69" s="23">
        <v>0</v>
      </c>
      <c r="P69" s="23">
        <v>1</v>
      </c>
      <c r="Q69" s="23">
        <v>0</v>
      </c>
      <c r="R69" s="25">
        <v>3</v>
      </c>
    </row>
    <row r="70" spans="1:18" x14ac:dyDescent="0.25">
      <c r="A70" s="43">
        <v>42197</v>
      </c>
      <c r="B70" s="43"/>
      <c r="C70" s="22" t="s">
        <v>38</v>
      </c>
      <c r="D70" s="23">
        <v>2</v>
      </c>
      <c r="E70" s="23">
        <v>5</v>
      </c>
      <c r="F70" s="38">
        <f t="shared" si="15"/>
        <v>0.4</v>
      </c>
      <c r="G70" s="23">
        <v>0</v>
      </c>
      <c r="H70" s="23">
        <v>1</v>
      </c>
      <c r="I70" s="38">
        <f t="shared" si="16"/>
        <v>0</v>
      </c>
      <c r="J70" s="23">
        <v>0</v>
      </c>
      <c r="K70" s="23">
        <v>0</v>
      </c>
      <c r="L70" s="38">
        <f t="shared" si="17"/>
        <v>0</v>
      </c>
      <c r="M70" s="23">
        <v>5</v>
      </c>
      <c r="N70" s="23">
        <v>2</v>
      </c>
      <c r="O70" s="23">
        <v>3</v>
      </c>
      <c r="P70" s="23">
        <v>0</v>
      </c>
      <c r="Q70" s="23">
        <v>1</v>
      </c>
      <c r="R70" s="25">
        <v>4</v>
      </c>
    </row>
    <row r="71" spans="1:18" x14ac:dyDescent="0.25">
      <c r="A71" s="43">
        <v>42197</v>
      </c>
      <c r="B71" s="43"/>
      <c r="C71" s="22" t="s">
        <v>36</v>
      </c>
      <c r="D71" s="23">
        <v>11</v>
      </c>
      <c r="E71" s="23">
        <v>14</v>
      </c>
      <c r="F71" s="38">
        <f t="shared" si="15"/>
        <v>0.7857142857142857</v>
      </c>
      <c r="G71" s="23">
        <v>5</v>
      </c>
      <c r="H71" s="23">
        <v>6</v>
      </c>
      <c r="I71" s="38">
        <f t="shared" si="16"/>
        <v>0.83333333333333337</v>
      </c>
      <c r="J71" s="23">
        <v>2</v>
      </c>
      <c r="K71" s="23">
        <v>3</v>
      </c>
      <c r="L71" s="38">
        <f t="shared" si="17"/>
        <v>0.66666666666666663</v>
      </c>
      <c r="M71" s="23">
        <v>3</v>
      </c>
      <c r="N71" s="23">
        <v>7</v>
      </c>
      <c r="O71" s="23">
        <v>1</v>
      </c>
      <c r="P71" s="23">
        <v>3</v>
      </c>
      <c r="Q71" s="23">
        <v>0</v>
      </c>
      <c r="R71" s="25">
        <v>29</v>
      </c>
    </row>
    <row r="72" spans="1:18" x14ac:dyDescent="0.25">
      <c r="A72" s="43">
        <v>42197</v>
      </c>
      <c r="B72" s="43"/>
      <c r="C72" s="22" t="s">
        <v>122</v>
      </c>
      <c r="D72" s="23">
        <v>11</v>
      </c>
      <c r="E72" s="23">
        <v>18</v>
      </c>
      <c r="F72" s="38">
        <f t="shared" si="15"/>
        <v>0.61111111111111116</v>
      </c>
      <c r="G72" s="23">
        <v>0</v>
      </c>
      <c r="H72" s="23">
        <v>0</v>
      </c>
      <c r="I72" s="38">
        <f t="shared" si="16"/>
        <v>0</v>
      </c>
      <c r="J72" s="23">
        <v>4</v>
      </c>
      <c r="K72" s="23">
        <v>5</v>
      </c>
      <c r="L72" s="38">
        <f t="shared" si="17"/>
        <v>0.8</v>
      </c>
      <c r="M72" s="23">
        <v>7</v>
      </c>
      <c r="N72" s="23">
        <v>0</v>
      </c>
      <c r="O72" s="23">
        <v>0</v>
      </c>
      <c r="P72" s="23">
        <v>3</v>
      </c>
      <c r="Q72" s="23">
        <v>2</v>
      </c>
      <c r="R72" s="25">
        <v>26</v>
      </c>
    </row>
    <row r="73" spans="1:18" x14ac:dyDescent="0.25">
      <c r="A73" s="43">
        <v>42199</v>
      </c>
      <c r="B73" s="43"/>
      <c r="C73" s="22" t="s">
        <v>122</v>
      </c>
      <c r="D73" s="23">
        <v>7</v>
      </c>
      <c r="E73" s="23">
        <v>13</v>
      </c>
      <c r="F73" s="38">
        <f t="shared" ref="F73:F81" si="18">IF(E73=0,0,D73/E73)</f>
        <v>0.53846153846153844</v>
      </c>
      <c r="G73" s="23">
        <v>0</v>
      </c>
      <c r="H73" s="23">
        <v>0</v>
      </c>
      <c r="I73" s="38">
        <f t="shared" ref="I73:I81" si="19">IF(H73=0,0,G73/H73)</f>
        <v>0</v>
      </c>
      <c r="J73" s="23">
        <v>8</v>
      </c>
      <c r="K73" s="23">
        <v>8</v>
      </c>
      <c r="L73" s="38">
        <f t="shared" ref="L73:L81" si="20">IF(K73=0,0,J73/K73)</f>
        <v>1</v>
      </c>
      <c r="M73" s="23">
        <v>7</v>
      </c>
      <c r="N73" s="23">
        <v>0</v>
      </c>
      <c r="O73" s="23">
        <v>0</v>
      </c>
      <c r="P73" s="23">
        <v>1</v>
      </c>
      <c r="Q73" s="23">
        <v>4</v>
      </c>
      <c r="R73" s="25">
        <v>22</v>
      </c>
    </row>
    <row r="74" spans="1:18" x14ac:dyDescent="0.25">
      <c r="A74" s="43">
        <v>42199</v>
      </c>
      <c r="B74" s="43"/>
      <c r="C74" s="22" t="s">
        <v>38</v>
      </c>
      <c r="D74" s="23">
        <v>5</v>
      </c>
      <c r="E74" s="23">
        <v>8</v>
      </c>
      <c r="F74" s="38">
        <f t="shared" si="18"/>
        <v>0.625</v>
      </c>
      <c r="G74" s="23">
        <v>0</v>
      </c>
      <c r="H74" s="23">
        <v>0</v>
      </c>
      <c r="I74" s="38">
        <f t="shared" si="19"/>
        <v>0</v>
      </c>
      <c r="J74" s="23">
        <v>2</v>
      </c>
      <c r="K74" s="23">
        <v>2</v>
      </c>
      <c r="L74" s="38">
        <f t="shared" si="20"/>
        <v>1</v>
      </c>
      <c r="M74" s="23">
        <v>6</v>
      </c>
      <c r="N74" s="23">
        <v>3</v>
      </c>
      <c r="O74" s="23">
        <v>5</v>
      </c>
      <c r="P74" s="23">
        <v>4</v>
      </c>
      <c r="Q74" s="23">
        <v>1</v>
      </c>
      <c r="R74" s="25">
        <v>12</v>
      </c>
    </row>
    <row r="75" spans="1:18" x14ac:dyDescent="0.25">
      <c r="A75" s="21">
        <v>42200</v>
      </c>
      <c r="B75" s="20"/>
      <c r="C75" s="15" t="s">
        <v>36</v>
      </c>
      <c r="D75" s="16">
        <v>7</v>
      </c>
      <c r="E75" s="16">
        <v>10</v>
      </c>
      <c r="F75" s="56">
        <f t="shared" si="18"/>
        <v>0.7</v>
      </c>
      <c r="G75" s="16">
        <v>0</v>
      </c>
      <c r="H75" s="16">
        <v>1</v>
      </c>
      <c r="I75" s="56">
        <f t="shared" si="19"/>
        <v>0</v>
      </c>
      <c r="J75" s="16">
        <v>0</v>
      </c>
      <c r="K75" s="16">
        <v>0</v>
      </c>
      <c r="L75" s="56">
        <f t="shared" si="20"/>
        <v>0</v>
      </c>
      <c r="M75" s="16">
        <v>4</v>
      </c>
      <c r="N75" s="16">
        <v>1</v>
      </c>
      <c r="O75" s="16">
        <v>1</v>
      </c>
      <c r="P75" s="16">
        <v>0</v>
      </c>
      <c r="Q75" s="16">
        <v>0</v>
      </c>
      <c r="R75" s="16">
        <v>14</v>
      </c>
    </row>
    <row r="76" spans="1:18" x14ac:dyDescent="0.25">
      <c r="A76" s="21">
        <v>42200</v>
      </c>
      <c r="B76" s="20"/>
      <c r="C76" s="15" t="s">
        <v>84</v>
      </c>
      <c r="D76" s="16">
        <v>3</v>
      </c>
      <c r="E76" s="16">
        <v>9</v>
      </c>
      <c r="F76" s="56">
        <f t="shared" si="18"/>
        <v>0.33333333333333331</v>
      </c>
      <c r="G76" s="16">
        <v>0</v>
      </c>
      <c r="H76" s="16">
        <v>3</v>
      </c>
      <c r="I76" s="56">
        <f t="shared" si="19"/>
        <v>0</v>
      </c>
      <c r="J76" s="16">
        <v>0</v>
      </c>
      <c r="K76" s="16">
        <v>0</v>
      </c>
      <c r="L76" s="56">
        <f t="shared" si="20"/>
        <v>0</v>
      </c>
      <c r="M76" s="16">
        <v>2</v>
      </c>
      <c r="N76" s="16">
        <v>0</v>
      </c>
      <c r="O76" s="16">
        <v>2</v>
      </c>
      <c r="P76" s="16">
        <v>2</v>
      </c>
      <c r="Q76" s="16">
        <v>0</v>
      </c>
      <c r="R76" s="16">
        <v>6</v>
      </c>
    </row>
    <row r="77" spans="1:18" x14ac:dyDescent="0.25">
      <c r="A77" s="21">
        <v>42200</v>
      </c>
      <c r="B77" s="20"/>
      <c r="C77" s="15" t="s">
        <v>35</v>
      </c>
      <c r="D77" s="16">
        <v>4</v>
      </c>
      <c r="E77" s="16">
        <v>7</v>
      </c>
      <c r="F77" s="56">
        <f t="shared" si="18"/>
        <v>0.5714285714285714</v>
      </c>
      <c r="G77" s="16">
        <v>2</v>
      </c>
      <c r="H77" s="16">
        <v>3</v>
      </c>
      <c r="I77" s="56">
        <f t="shared" si="19"/>
        <v>0.66666666666666663</v>
      </c>
      <c r="J77" s="16">
        <v>3</v>
      </c>
      <c r="K77" s="16">
        <v>4</v>
      </c>
      <c r="L77" s="56">
        <f t="shared" si="20"/>
        <v>0.75</v>
      </c>
      <c r="M77" s="16">
        <v>7</v>
      </c>
      <c r="N77" s="16">
        <v>2</v>
      </c>
      <c r="O77" s="16">
        <v>0</v>
      </c>
      <c r="P77" s="16">
        <v>1</v>
      </c>
      <c r="Q77" s="16">
        <v>1</v>
      </c>
      <c r="R77" s="16">
        <v>13</v>
      </c>
    </row>
    <row r="78" spans="1:18" x14ac:dyDescent="0.25">
      <c r="A78" s="61">
        <v>42201</v>
      </c>
      <c r="B78" s="60"/>
      <c r="C78" s="59" t="s">
        <v>84</v>
      </c>
      <c r="D78" s="57">
        <v>1</v>
      </c>
      <c r="E78" s="57">
        <v>7</v>
      </c>
      <c r="F78" s="58">
        <f t="shared" si="18"/>
        <v>0.14285714285714285</v>
      </c>
      <c r="G78" s="57">
        <v>0</v>
      </c>
      <c r="H78" s="57">
        <v>5</v>
      </c>
      <c r="I78" s="58">
        <f t="shared" si="19"/>
        <v>0</v>
      </c>
      <c r="J78" s="57">
        <v>4</v>
      </c>
      <c r="K78" s="57">
        <v>4</v>
      </c>
      <c r="L78" s="58">
        <f t="shared" si="20"/>
        <v>1</v>
      </c>
      <c r="M78" s="57">
        <v>1</v>
      </c>
      <c r="N78" s="57">
        <v>5</v>
      </c>
      <c r="O78" s="57">
        <v>1</v>
      </c>
      <c r="P78" s="57">
        <v>2</v>
      </c>
      <c r="Q78" s="57">
        <v>0</v>
      </c>
      <c r="R78" s="57">
        <v>6</v>
      </c>
    </row>
    <row r="79" spans="1:18" x14ac:dyDescent="0.25">
      <c r="A79" s="21">
        <v>42202</v>
      </c>
      <c r="B79" s="20"/>
      <c r="C79" s="15" t="s">
        <v>36</v>
      </c>
      <c r="D79" s="16">
        <v>2</v>
      </c>
      <c r="E79" s="16">
        <v>9</v>
      </c>
      <c r="F79" s="56">
        <f t="shared" si="18"/>
        <v>0.22222222222222221</v>
      </c>
      <c r="G79" s="16">
        <v>0</v>
      </c>
      <c r="H79" s="16">
        <v>1</v>
      </c>
      <c r="I79" s="56">
        <f t="shared" si="19"/>
        <v>0</v>
      </c>
      <c r="J79" s="16">
        <v>0</v>
      </c>
      <c r="K79" s="16">
        <v>0</v>
      </c>
      <c r="L79" s="56">
        <f t="shared" si="20"/>
        <v>0</v>
      </c>
      <c r="M79" s="16">
        <v>2</v>
      </c>
      <c r="N79" s="16">
        <v>0</v>
      </c>
      <c r="O79" s="16">
        <v>0</v>
      </c>
      <c r="P79" s="16">
        <v>3</v>
      </c>
      <c r="Q79" s="16">
        <v>1</v>
      </c>
      <c r="R79" s="16">
        <v>4</v>
      </c>
    </row>
    <row r="80" spans="1:18" x14ac:dyDescent="0.25">
      <c r="A80" s="43">
        <v>42202</v>
      </c>
      <c r="B80" s="43"/>
      <c r="C80" s="22" t="s">
        <v>38</v>
      </c>
      <c r="D80" s="23">
        <v>0</v>
      </c>
      <c r="E80" s="23">
        <v>8</v>
      </c>
      <c r="F80" s="38">
        <f t="shared" si="18"/>
        <v>0</v>
      </c>
      <c r="G80" s="23">
        <v>0</v>
      </c>
      <c r="H80" s="23">
        <v>0</v>
      </c>
      <c r="I80" s="38">
        <f t="shared" si="19"/>
        <v>0</v>
      </c>
      <c r="J80" s="23">
        <v>1</v>
      </c>
      <c r="K80" s="23">
        <v>2</v>
      </c>
      <c r="L80" s="38">
        <f t="shared" si="20"/>
        <v>0.5</v>
      </c>
      <c r="M80" s="23">
        <v>12</v>
      </c>
      <c r="N80" s="23">
        <v>0</v>
      </c>
      <c r="O80" s="23">
        <v>0</v>
      </c>
      <c r="P80" s="23">
        <v>2</v>
      </c>
      <c r="Q80" s="23">
        <v>1</v>
      </c>
      <c r="R80" s="25">
        <v>1</v>
      </c>
    </row>
    <row r="81" spans="1:18" x14ac:dyDescent="0.25">
      <c r="A81" s="43">
        <v>42202</v>
      </c>
      <c r="B81" s="43"/>
      <c r="C81" s="22" t="s">
        <v>35</v>
      </c>
      <c r="D81" s="23">
        <v>1</v>
      </c>
      <c r="E81" s="23">
        <v>9</v>
      </c>
      <c r="F81" s="38">
        <f t="shared" si="18"/>
        <v>0.1111111111111111</v>
      </c>
      <c r="G81" s="23">
        <v>1</v>
      </c>
      <c r="H81" s="23">
        <v>4</v>
      </c>
      <c r="I81" s="38">
        <f t="shared" si="19"/>
        <v>0.25</v>
      </c>
      <c r="J81" s="23">
        <v>1</v>
      </c>
      <c r="K81" s="23">
        <v>2</v>
      </c>
      <c r="L81" s="38">
        <f t="shared" si="20"/>
        <v>0.5</v>
      </c>
      <c r="M81" s="23">
        <v>3</v>
      </c>
      <c r="N81" s="23">
        <v>1</v>
      </c>
      <c r="O81" s="23">
        <v>1</v>
      </c>
      <c r="P81" s="23">
        <v>3</v>
      </c>
      <c r="Q81" s="23">
        <v>1</v>
      </c>
      <c r="R81" s="25">
        <v>4</v>
      </c>
    </row>
    <row r="82" spans="1:18" x14ac:dyDescent="0.25">
      <c r="A82" s="43">
        <v>42204</v>
      </c>
      <c r="B82" s="43"/>
      <c r="C82" s="22" t="s">
        <v>38</v>
      </c>
      <c r="D82" s="23">
        <v>4</v>
      </c>
      <c r="E82" s="23">
        <v>10</v>
      </c>
      <c r="F82" s="38">
        <f t="shared" ref="F82:F106" si="21">IF(E82=0,0,D82/E82)</f>
        <v>0.4</v>
      </c>
      <c r="G82" s="23">
        <v>0</v>
      </c>
      <c r="H82" s="23">
        <v>0</v>
      </c>
      <c r="I82" s="38">
        <f t="shared" ref="I82:I106" si="22">IF(H82=0,0,G82/H82)</f>
        <v>0</v>
      </c>
      <c r="J82" s="23">
        <v>4</v>
      </c>
      <c r="K82" s="23">
        <v>4</v>
      </c>
      <c r="L82" s="38">
        <f t="shared" ref="L82:L106" si="23">IF(K82=0,0,J82/K82)</f>
        <v>1</v>
      </c>
      <c r="M82" s="23">
        <v>13</v>
      </c>
      <c r="N82" s="23">
        <v>4</v>
      </c>
      <c r="O82" s="23">
        <v>1</v>
      </c>
      <c r="P82" s="23">
        <v>4</v>
      </c>
      <c r="Q82" s="23">
        <v>0</v>
      </c>
      <c r="R82" s="25">
        <v>12</v>
      </c>
    </row>
    <row r="83" spans="1:18" x14ac:dyDescent="0.25">
      <c r="A83" s="43">
        <v>42204</v>
      </c>
      <c r="B83" s="43"/>
      <c r="C83" s="22" t="s">
        <v>35</v>
      </c>
      <c r="D83" s="23">
        <v>1</v>
      </c>
      <c r="E83" s="23">
        <v>9</v>
      </c>
      <c r="F83" s="38">
        <f t="shared" si="21"/>
        <v>0.1111111111111111</v>
      </c>
      <c r="G83" s="23">
        <v>0</v>
      </c>
      <c r="H83" s="23">
        <v>1</v>
      </c>
      <c r="I83" s="38">
        <f t="shared" si="22"/>
        <v>0</v>
      </c>
      <c r="J83" s="23">
        <v>5</v>
      </c>
      <c r="K83" s="23">
        <v>5</v>
      </c>
      <c r="L83" s="38">
        <f t="shared" si="23"/>
        <v>1</v>
      </c>
      <c r="M83" s="23">
        <v>2</v>
      </c>
      <c r="N83" s="23">
        <v>1</v>
      </c>
      <c r="O83" s="23">
        <v>3</v>
      </c>
      <c r="P83" s="23">
        <v>1</v>
      </c>
      <c r="Q83" s="23">
        <v>0</v>
      </c>
      <c r="R83" s="25">
        <v>7</v>
      </c>
    </row>
    <row r="84" spans="1:18" x14ac:dyDescent="0.25">
      <c r="A84" s="43">
        <v>42204</v>
      </c>
      <c r="B84" s="43"/>
      <c r="C84" s="22" t="s">
        <v>36</v>
      </c>
      <c r="D84" s="23">
        <v>4</v>
      </c>
      <c r="E84" s="23">
        <v>11</v>
      </c>
      <c r="F84" s="38">
        <f t="shared" si="21"/>
        <v>0.36363636363636365</v>
      </c>
      <c r="G84" s="23">
        <v>1</v>
      </c>
      <c r="H84" s="23">
        <v>3</v>
      </c>
      <c r="I84" s="38">
        <f t="shared" si="22"/>
        <v>0.33333333333333331</v>
      </c>
      <c r="J84" s="23">
        <v>3</v>
      </c>
      <c r="K84" s="23">
        <v>4</v>
      </c>
      <c r="L84" s="38">
        <f t="shared" si="23"/>
        <v>0.75</v>
      </c>
      <c r="M84" s="23">
        <v>3</v>
      </c>
      <c r="N84" s="23">
        <v>1</v>
      </c>
      <c r="O84" s="23">
        <v>1</v>
      </c>
      <c r="P84" s="23">
        <v>1</v>
      </c>
      <c r="Q84" s="23">
        <v>0</v>
      </c>
      <c r="R84" s="25">
        <v>12</v>
      </c>
    </row>
    <row r="85" spans="1:18" x14ac:dyDescent="0.25">
      <c r="A85" s="21">
        <v>42203</v>
      </c>
      <c r="B85" s="20"/>
      <c r="C85" s="15" t="s">
        <v>122</v>
      </c>
      <c r="D85" s="16">
        <v>6</v>
      </c>
      <c r="E85" s="16">
        <v>11</v>
      </c>
      <c r="F85" s="62">
        <f t="shared" si="21"/>
        <v>0.54545454545454541</v>
      </c>
      <c r="G85" s="16">
        <v>0</v>
      </c>
      <c r="H85" s="16">
        <v>0</v>
      </c>
      <c r="I85" s="62">
        <f t="shared" si="22"/>
        <v>0</v>
      </c>
      <c r="J85" s="16">
        <v>3</v>
      </c>
      <c r="K85" s="16">
        <v>5</v>
      </c>
      <c r="L85" s="62">
        <f t="shared" si="23"/>
        <v>0.6</v>
      </c>
      <c r="M85" s="16">
        <v>8</v>
      </c>
      <c r="N85" s="16">
        <v>4</v>
      </c>
      <c r="O85" s="16">
        <v>0</v>
      </c>
      <c r="P85" s="16">
        <v>0</v>
      </c>
      <c r="Q85" s="16">
        <v>7</v>
      </c>
      <c r="R85" s="16">
        <v>15</v>
      </c>
    </row>
    <row r="86" spans="1:18" x14ac:dyDescent="0.25">
      <c r="A86" s="21">
        <v>42206</v>
      </c>
      <c r="B86" s="20"/>
      <c r="C86" s="15" t="s">
        <v>36</v>
      </c>
      <c r="D86" s="16">
        <v>3</v>
      </c>
      <c r="E86" s="16">
        <v>9</v>
      </c>
      <c r="F86" s="70">
        <f t="shared" si="21"/>
        <v>0.33333333333333331</v>
      </c>
      <c r="G86" s="16">
        <v>1</v>
      </c>
      <c r="H86" s="16">
        <v>2</v>
      </c>
      <c r="I86" s="70">
        <f t="shared" si="22"/>
        <v>0.5</v>
      </c>
      <c r="J86" s="16">
        <v>5</v>
      </c>
      <c r="K86" s="16">
        <v>6</v>
      </c>
      <c r="L86" s="70">
        <f t="shared" si="23"/>
        <v>0.83333333333333337</v>
      </c>
      <c r="M86" s="16">
        <v>7</v>
      </c>
      <c r="N86" s="16">
        <v>2</v>
      </c>
      <c r="O86" s="16">
        <v>1</v>
      </c>
      <c r="P86" s="16">
        <v>1</v>
      </c>
      <c r="Q86" s="16">
        <v>0</v>
      </c>
      <c r="R86" s="16">
        <v>12</v>
      </c>
    </row>
    <row r="87" spans="1:18" x14ac:dyDescent="0.25">
      <c r="A87" s="43">
        <v>42206</v>
      </c>
      <c r="B87" s="43"/>
      <c r="C87" s="22" t="s">
        <v>122</v>
      </c>
      <c r="D87" s="23">
        <v>4</v>
      </c>
      <c r="E87" s="23">
        <v>12</v>
      </c>
      <c r="F87" s="38">
        <f t="shared" si="21"/>
        <v>0.33333333333333331</v>
      </c>
      <c r="G87" s="23">
        <v>0</v>
      </c>
      <c r="H87" s="23">
        <v>0</v>
      </c>
      <c r="I87" s="38">
        <f t="shared" si="22"/>
        <v>0</v>
      </c>
      <c r="J87" s="23">
        <v>5</v>
      </c>
      <c r="K87" s="23">
        <v>6</v>
      </c>
      <c r="L87" s="38">
        <f t="shared" si="23"/>
        <v>0.83333333333333337</v>
      </c>
      <c r="M87" s="23">
        <v>7</v>
      </c>
      <c r="N87" s="23">
        <v>1</v>
      </c>
      <c r="O87" s="23">
        <v>0</v>
      </c>
      <c r="P87" s="23">
        <v>4</v>
      </c>
      <c r="Q87" s="23">
        <v>2</v>
      </c>
      <c r="R87" s="25">
        <v>13</v>
      </c>
    </row>
    <row r="88" spans="1:18" x14ac:dyDescent="0.25">
      <c r="A88" s="43">
        <v>42206</v>
      </c>
      <c r="B88" s="43"/>
      <c r="C88" s="22" t="s">
        <v>84</v>
      </c>
      <c r="D88" s="23">
        <v>0</v>
      </c>
      <c r="E88" s="23">
        <v>2</v>
      </c>
      <c r="F88" s="38">
        <f t="shared" si="21"/>
        <v>0</v>
      </c>
      <c r="G88" s="23">
        <v>0</v>
      </c>
      <c r="H88" s="23">
        <v>1</v>
      </c>
      <c r="I88" s="38">
        <f t="shared" si="22"/>
        <v>0</v>
      </c>
      <c r="J88" s="23">
        <v>0</v>
      </c>
      <c r="K88" s="23">
        <v>0</v>
      </c>
      <c r="L88" s="38">
        <f t="shared" si="23"/>
        <v>0</v>
      </c>
      <c r="M88" s="23">
        <v>3</v>
      </c>
      <c r="N88" s="23">
        <v>1</v>
      </c>
      <c r="O88" s="23">
        <v>0</v>
      </c>
      <c r="P88" s="23">
        <v>0</v>
      </c>
      <c r="Q88" s="23">
        <v>0</v>
      </c>
      <c r="R88" s="25">
        <v>0</v>
      </c>
    </row>
    <row r="89" spans="1:18" x14ac:dyDescent="0.25">
      <c r="A89" s="43">
        <v>42206</v>
      </c>
      <c r="B89" s="43"/>
      <c r="C89" s="22" t="s">
        <v>150</v>
      </c>
      <c r="D89" s="23">
        <v>3</v>
      </c>
      <c r="E89" s="23">
        <v>6</v>
      </c>
      <c r="F89" s="38">
        <f t="shared" si="21"/>
        <v>0.5</v>
      </c>
      <c r="G89" s="23">
        <v>1</v>
      </c>
      <c r="H89" s="23">
        <v>2</v>
      </c>
      <c r="I89" s="38">
        <f t="shared" si="22"/>
        <v>0.5</v>
      </c>
      <c r="J89" s="23">
        <v>2</v>
      </c>
      <c r="K89" s="23">
        <v>2</v>
      </c>
      <c r="L89" s="38">
        <f t="shared" si="23"/>
        <v>1</v>
      </c>
      <c r="M89" s="23">
        <v>0</v>
      </c>
      <c r="N89" s="23">
        <v>4</v>
      </c>
      <c r="O89" s="23">
        <v>0</v>
      </c>
      <c r="P89" s="23">
        <v>2</v>
      </c>
      <c r="Q89" s="23">
        <v>0</v>
      </c>
      <c r="R89" s="25">
        <v>9</v>
      </c>
    </row>
    <row r="90" spans="1:18" x14ac:dyDescent="0.25">
      <c r="A90" s="43">
        <v>42206</v>
      </c>
      <c r="B90" s="43"/>
      <c r="C90" s="22" t="s">
        <v>35</v>
      </c>
      <c r="D90" s="23">
        <v>5</v>
      </c>
      <c r="E90" s="23">
        <v>13</v>
      </c>
      <c r="F90" s="38">
        <f t="shared" si="21"/>
        <v>0.38461538461538464</v>
      </c>
      <c r="G90" s="23">
        <v>1</v>
      </c>
      <c r="H90" s="23">
        <v>2</v>
      </c>
      <c r="I90" s="38">
        <f t="shared" si="22"/>
        <v>0.5</v>
      </c>
      <c r="J90" s="23">
        <v>4</v>
      </c>
      <c r="K90" s="23">
        <v>6</v>
      </c>
      <c r="L90" s="38">
        <f t="shared" si="23"/>
        <v>0.66666666666666663</v>
      </c>
      <c r="M90" s="23">
        <v>8</v>
      </c>
      <c r="N90" s="23">
        <v>2</v>
      </c>
      <c r="O90" s="23">
        <v>1</v>
      </c>
      <c r="P90" s="23">
        <v>4</v>
      </c>
      <c r="Q90" s="23">
        <v>0</v>
      </c>
      <c r="R90" s="25">
        <v>15</v>
      </c>
    </row>
    <row r="91" spans="1:18" x14ac:dyDescent="0.25">
      <c r="A91" s="72">
        <v>42207</v>
      </c>
      <c r="B91" s="43"/>
      <c r="C91" s="22" t="s">
        <v>84</v>
      </c>
      <c r="D91" s="23">
        <v>1</v>
      </c>
      <c r="E91" s="23">
        <v>4</v>
      </c>
      <c r="F91" s="38">
        <f t="shared" si="21"/>
        <v>0.25</v>
      </c>
      <c r="G91" s="23">
        <v>0</v>
      </c>
      <c r="H91" s="23">
        <v>1</v>
      </c>
      <c r="I91" s="38">
        <f t="shared" si="22"/>
        <v>0</v>
      </c>
      <c r="J91" s="23">
        <v>1</v>
      </c>
      <c r="K91" s="23">
        <v>1</v>
      </c>
      <c r="L91" s="38">
        <f t="shared" si="23"/>
        <v>1</v>
      </c>
      <c r="M91" s="23">
        <v>2</v>
      </c>
      <c r="N91" s="23">
        <v>4</v>
      </c>
      <c r="O91" s="23">
        <v>2</v>
      </c>
      <c r="P91" s="23">
        <v>1</v>
      </c>
      <c r="Q91" s="23">
        <v>1</v>
      </c>
      <c r="R91" s="25">
        <v>3</v>
      </c>
    </row>
    <row r="92" spans="1:18" x14ac:dyDescent="0.25">
      <c r="A92" s="72">
        <v>42207</v>
      </c>
      <c r="B92" s="43"/>
      <c r="C92" s="22" t="s">
        <v>150</v>
      </c>
      <c r="D92" s="23">
        <v>0</v>
      </c>
      <c r="E92" s="23">
        <v>1</v>
      </c>
      <c r="F92" s="38">
        <f t="shared" si="21"/>
        <v>0</v>
      </c>
      <c r="G92" s="23">
        <v>0</v>
      </c>
      <c r="H92" s="23">
        <v>0</v>
      </c>
      <c r="I92" s="38">
        <f t="shared" si="22"/>
        <v>0</v>
      </c>
      <c r="J92" s="23">
        <v>2</v>
      </c>
      <c r="K92" s="23">
        <v>2</v>
      </c>
      <c r="L92" s="38">
        <f t="shared" si="23"/>
        <v>1</v>
      </c>
      <c r="M92" s="23">
        <v>2</v>
      </c>
      <c r="N92" s="23">
        <v>1</v>
      </c>
      <c r="O92" s="23">
        <v>2</v>
      </c>
      <c r="P92" s="23">
        <v>3</v>
      </c>
      <c r="Q92" s="23">
        <v>0</v>
      </c>
      <c r="R92" s="25">
        <v>2</v>
      </c>
    </row>
    <row r="93" spans="1:18" x14ac:dyDescent="0.25">
      <c r="A93" s="71">
        <v>42207</v>
      </c>
      <c r="B93" s="20"/>
      <c r="C93" s="15" t="s">
        <v>38</v>
      </c>
      <c r="D93" s="16">
        <v>5</v>
      </c>
      <c r="E93" s="16">
        <v>11</v>
      </c>
      <c r="F93" s="70">
        <f t="shared" si="21"/>
        <v>0.45454545454545453</v>
      </c>
      <c r="G93" s="16">
        <v>0</v>
      </c>
      <c r="H93" s="16">
        <v>0</v>
      </c>
      <c r="I93" s="70">
        <f t="shared" si="22"/>
        <v>0</v>
      </c>
      <c r="J93" s="16">
        <v>4</v>
      </c>
      <c r="K93" s="16">
        <v>4</v>
      </c>
      <c r="L93" s="70">
        <f t="shared" si="23"/>
        <v>1</v>
      </c>
      <c r="M93" s="16">
        <v>15</v>
      </c>
      <c r="N93" s="16">
        <v>3</v>
      </c>
      <c r="O93" s="16">
        <v>3</v>
      </c>
      <c r="P93" s="16">
        <v>3</v>
      </c>
      <c r="Q93" s="16">
        <v>0</v>
      </c>
      <c r="R93" s="16">
        <v>14</v>
      </c>
    </row>
    <row r="94" spans="1:18" x14ac:dyDescent="0.25">
      <c r="A94" s="73">
        <v>42213</v>
      </c>
      <c r="B94" s="20"/>
      <c r="C94" s="15" t="s">
        <v>36</v>
      </c>
      <c r="D94" s="16">
        <v>5</v>
      </c>
      <c r="E94" s="16">
        <v>16</v>
      </c>
      <c r="F94" s="70">
        <f t="shared" si="21"/>
        <v>0.3125</v>
      </c>
      <c r="G94" s="16">
        <v>1</v>
      </c>
      <c r="H94" s="16">
        <v>1</v>
      </c>
      <c r="I94" s="70">
        <f t="shared" si="22"/>
        <v>1</v>
      </c>
      <c r="J94" s="16">
        <v>2</v>
      </c>
      <c r="K94" s="16">
        <v>2</v>
      </c>
      <c r="L94" s="70">
        <f t="shared" si="23"/>
        <v>1</v>
      </c>
      <c r="M94" s="16">
        <v>7</v>
      </c>
      <c r="N94" s="16">
        <v>0</v>
      </c>
      <c r="O94" s="16">
        <v>2</v>
      </c>
      <c r="P94" s="16">
        <v>0</v>
      </c>
      <c r="Q94" s="16">
        <v>0</v>
      </c>
      <c r="R94" s="16">
        <v>13</v>
      </c>
    </row>
    <row r="95" spans="1:18" x14ac:dyDescent="0.25">
      <c r="A95" s="73">
        <v>42213</v>
      </c>
      <c r="B95" s="20"/>
      <c r="C95" s="15" t="s">
        <v>122</v>
      </c>
      <c r="D95" s="16">
        <v>4</v>
      </c>
      <c r="E95" s="16">
        <v>7</v>
      </c>
      <c r="F95" s="70">
        <f t="shared" si="21"/>
        <v>0.5714285714285714</v>
      </c>
      <c r="G95" s="16">
        <v>0</v>
      </c>
      <c r="H95" s="16">
        <v>0</v>
      </c>
      <c r="I95" s="70">
        <f t="shared" si="22"/>
        <v>0</v>
      </c>
      <c r="J95" s="16">
        <v>6</v>
      </c>
      <c r="K95" s="16">
        <v>6</v>
      </c>
      <c r="L95" s="70">
        <f t="shared" si="23"/>
        <v>1</v>
      </c>
      <c r="M95" s="16">
        <v>8</v>
      </c>
      <c r="N95" s="16">
        <v>2</v>
      </c>
      <c r="O95" s="16">
        <v>0</v>
      </c>
      <c r="P95" s="16">
        <v>4</v>
      </c>
      <c r="Q95" s="16">
        <v>5</v>
      </c>
      <c r="R95" s="16">
        <v>14</v>
      </c>
    </row>
    <row r="96" spans="1:18" x14ac:dyDescent="0.25">
      <c r="A96" s="21">
        <v>42214</v>
      </c>
      <c r="B96" s="20"/>
      <c r="C96" s="74" t="s">
        <v>156</v>
      </c>
      <c r="D96" s="15">
        <v>5</v>
      </c>
      <c r="E96" s="15">
        <v>7</v>
      </c>
      <c r="F96" s="70">
        <f t="shared" si="21"/>
        <v>0.7142857142857143</v>
      </c>
      <c r="G96" s="15">
        <v>3</v>
      </c>
      <c r="H96" s="15">
        <v>4</v>
      </c>
      <c r="I96" s="70">
        <f t="shared" si="22"/>
        <v>0.75</v>
      </c>
      <c r="J96" s="15">
        <v>1</v>
      </c>
      <c r="K96" s="15">
        <v>2</v>
      </c>
      <c r="L96" s="70">
        <f t="shared" si="23"/>
        <v>0.5</v>
      </c>
      <c r="M96" s="15">
        <v>0</v>
      </c>
      <c r="N96" s="15">
        <v>2</v>
      </c>
      <c r="O96" s="15">
        <v>0</v>
      </c>
      <c r="P96" s="15">
        <v>1</v>
      </c>
      <c r="Q96" s="15">
        <v>0</v>
      </c>
      <c r="R96" s="15">
        <v>14</v>
      </c>
    </row>
    <row r="97" spans="1:18" x14ac:dyDescent="0.25">
      <c r="A97" s="21">
        <v>42214</v>
      </c>
      <c r="B97" s="20"/>
      <c r="C97" s="15" t="s">
        <v>37</v>
      </c>
      <c r="D97" s="16">
        <v>4</v>
      </c>
      <c r="E97" s="16">
        <v>9</v>
      </c>
      <c r="F97" s="70">
        <f t="shared" si="21"/>
        <v>0.44444444444444442</v>
      </c>
      <c r="G97" s="16">
        <v>0</v>
      </c>
      <c r="H97" s="16">
        <v>2</v>
      </c>
      <c r="I97" s="70">
        <f t="shared" si="22"/>
        <v>0</v>
      </c>
      <c r="J97" s="16">
        <v>4</v>
      </c>
      <c r="K97" s="16">
        <v>4</v>
      </c>
      <c r="L97" s="70">
        <f t="shared" si="23"/>
        <v>1</v>
      </c>
      <c r="M97" s="16">
        <v>7</v>
      </c>
      <c r="N97" s="16">
        <v>9</v>
      </c>
      <c r="O97" s="16">
        <v>2</v>
      </c>
      <c r="P97" s="16">
        <v>4</v>
      </c>
      <c r="Q97" s="16">
        <v>1</v>
      </c>
      <c r="R97" s="16">
        <v>12</v>
      </c>
    </row>
    <row r="98" spans="1:18" x14ac:dyDescent="0.25">
      <c r="A98" s="21">
        <v>42214</v>
      </c>
      <c r="B98" s="20"/>
      <c r="C98" s="15" t="s">
        <v>38</v>
      </c>
      <c r="D98" s="16">
        <v>1</v>
      </c>
      <c r="E98" s="16">
        <v>5</v>
      </c>
      <c r="F98" s="70">
        <f t="shared" si="21"/>
        <v>0.2</v>
      </c>
      <c r="G98" s="16">
        <v>0</v>
      </c>
      <c r="H98" s="16">
        <v>0</v>
      </c>
      <c r="I98" s="70">
        <f t="shared" si="22"/>
        <v>0</v>
      </c>
      <c r="J98" s="16">
        <v>1</v>
      </c>
      <c r="K98" s="16">
        <v>2</v>
      </c>
      <c r="L98" s="70">
        <f t="shared" si="23"/>
        <v>0.5</v>
      </c>
      <c r="M98" s="16">
        <v>7</v>
      </c>
      <c r="N98" s="16">
        <v>3</v>
      </c>
      <c r="O98" s="16">
        <v>3</v>
      </c>
      <c r="P98" s="16">
        <v>2</v>
      </c>
      <c r="Q98" s="16">
        <v>1</v>
      </c>
      <c r="R98" s="16">
        <v>3</v>
      </c>
    </row>
    <row r="99" spans="1:18" x14ac:dyDescent="0.25">
      <c r="A99" s="21">
        <v>42214</v>
      </c>
      <c r="B99" s="20"/>
      <c r="C99" s="15" t="s">
        <v>155</v>
      </c>
      <c r="D99" s="15">
        <v>5</v>
      </c>
      <c r="E99" s="15">
        <v>9</v>
      </c>
      <c r="F99" s="70">
        <f t="shared" si="21"/>
        <v>0.55555555555555558</v>
      </c>
      <c r="G99" s="15">
        <v>2</v>
      </c>
      <c r="H99" s="15">
        <v>4</v>
      </c>
      <c r="I99" s="70">
        <f t="shared" si="22"/>
        <v>0.5</v>
      </c>
      <c r="J99" s="15">
        <v>0</v>
      </c>
      <c r="K99" s="15">
        <v>0</v>
      </c>
      <c r="L99" s="70">
        <f t="shared" si="23"/>
        <v>0</v>
      </c>
      <c r="M99" s="15">
        <v>2</v>
      </c>
      <c r="N99" s="15">
        <v>7</v>
      </c>
      <c r="O99" s="15">
        <v>0</v>
      </c>
      <c r="P99" s="15">
        <v>2</v>
      </c>
      <c r="Q99" s="15">
        <v>0</v>
      </c>
      <c r="R99" s="15">
        <v>12</v>
      </c>
    </row>
    <row r="100" spans="1:18" x14ac:dyDescent="0.25">
      <c r="A100" s="71">
        <v>42215</v>
      </c>
      <c r="B100" s="20"/>
      <c r="C100" s="15" t="s">
        <v>122</v>
      </c>
      <c r="D100" s="16">
        <v>6</v>
      </c>
      <c r="E100" s="16">
        <v>9</v>
      </c>
      <c r="F100" s="70">
        <f t="shared" si="21"/>
        <v>0.66666666666666663</v>
      </c>
      <c r="G100" s="16">
        <v>0</v>
      </c>
      <c r="H100" s="16">
        <v>0</v>
      </c>
      <c r="I100" s="70">
        <f t="shared" si="22"/>
        <v>0</v>
      </c>
      <c r="J100" s="16">
        <v>1</v>
      </c>
      <c r="K100" s="16">
        <v>1</v>
      </c>
      <c r="L100" s="70">
        <f t="shared" si="23"/>
        <v>1</v>
      </c>
      <c r="M100" s="16">
        <v>10</v>
      </c>
      <c r="N100" s="16">
        <v>2</v>
      </c>
      <c r="O100" s="16">
        <v>1</v>
      </c>
      <c r="P100" s="16">
        <v>3</v>
      </c>
      <c r="Q100" s="16">
        <v>7</v>
      </c>
      <c r="R100" s="16">
        <v>13</v>
      </c>
    </row>
    <row r="101" spans="1:18" x14ac:dyDescent="0.25">
      <c r="A101" s="71">
        <v>42215</v>
      </c>
      <c r="B101" s="20"/>
      <c r="C101" s="15" t="s">
        <v>35</v>
      </c>
      <c r="D101" s="16">
        <v>4</v>
      </c>
      <c r="E101" s="16">
        <v>8</v>
      </c>
      <c r="F101" s="70">
        <f t="shared" si="21"/>
        <v>0.5</v>
      </c>
      <c r="G101" s="16">
        <v>1</v>
      </c>
      <c r="H101" s="16">
        <v>3</v>
      </c>
      <c r="I101" s="70">
        <f t="shared" si="22"/>
        <v>0.33333333333333331</v>
      </c>
      <c r="J101" s="16">
        <v>2</v>
      </c>
      <c r="K101" s="16">
        <v>2</v>
      </c>
      <c r="L101" s="70">
        <f t="shared" si="23"/>
        <v>1</v>
      </c>
      <c r="M101" s="16">
        <v>4</v>
      </c>
      <c r="N101" s="16">
        <v>2</v>
      </c>
      <c r="O101" s="16">
        <v>2</v>
      </c>
      <c r="P101" s="16">
        <v>0</v>
      </c>
      <c r="Q101" s="16">
        <v>1</v>
      </c>
      <c r="R101" s="16">
        <v>11</v>
      </c>
    </row>
    <row r="102" spans="1:18" x14ac:dyDescent="0.25">
      <c r="A102" s="21">
        <v>42216</v>
      </c>
      <c r="B102" s="20"/>
      <c r="C102" s="15" t="s">
        <v>36</v>
      </c>
      <c r="D102" s="16">
        <v>5</v>
      </c>
      <c r="E102" s="16">
        <v>13</v>
      </c>
      <c r="F102" s="70">
        <f t="shared" si="21"/>
        <v>0.38461538461538464</v>
      </c>
      <c r="G102" s="16">
        <v>0</v>
      </c>
      <c r="H102" s="16">
        <v>1</v>
      </c>
      <c r="I102" s="70">
        <f t="shared" si="22"/>
        <v>0</v>
      </c>
      <c r="J102" s="16">
        <v>3</v>
      </c>
      <c r="K102" s="16">
        <v>3</v>
      </c>
      <c r="L102" s="70">
        <f t="shared" si="23"/>
        <v>1</v>
      </c>
      <c r="M102" s="16">
        <v>5</v>
      </c>
      <c r="N102" s="16">
        <v>1</v>
      </c>
      <c r="O102" s="16">
        <v>0</v>
      </c>
      <c r="P102" s="16">
        <v>1</v>
      </c>
      <c r="Q102" s="16">
        <v>0</v>
      </c>
      <c r="R102" s="16">
        <v>13</v>
      </c>
    </row>
    <row r="103" spans="1:18" x14ac:dyDescent="0.25">
      <c r="A103" s="21">
        <v>42216</v>
      </c>
      <c r="B103" s="20"/>
      <c r="C103" s="15" t="s">
        <v>38</v>
      </c>
      <c r="D103" s="16">
        <v>2</v>
      </c>
      <c r="E103" s="16">
        <v>5</v>
      </c>
      <c r="F103" s="70">
        <f t="shared" si="21"/>
        <v>0.4</v>
      </c>
      <c r="G103" s="16">
        <v>0</v>
      </c>
      <c r="H103" s="16">
        <v>0</v>
      </c>
      <c r="I103" s="70">
        <f t="shared" si="22"/>
        <v>0</v>
      </c>
      <c r="J103" s="16">
        <v>2</v>
      </c>
      <c r="K103" s="16">
        <v>2</v>
      </c>
      <c r="L103" s="70">
        <f t="shared" si="23"/>
        <v>1</v>
      </c>
      <c r="M103" s="16">
        <v>8</v>
      </c>
      <c r="N103" s="16">
        <v>0</v>
      </c>
      <c r="O103" s="16">
        <v>1</v>
      </c>
      <c r="P103" s="16">
        <v>0</v>
      </c>
      <c r="Q103" s="16">
        <v>1</v>
      </c>
      <c r="R103" s="16">
        <v>6</v>
      </c>
    </row>
    <row r="104" spans="1:18" x14ac:dyDescent="0.25">
      <c r="A104" s="21">
        <v>42216</v>
      </c>
      <c r="B104" s="20"/>
      <c r="C104" s="15" t="s">
        <v>37</v>
      </c>
      <c r="D104" s="16">
        <v>12</v>
      </c>
      <c r="E104" s="16">
        <v>20</v>
      </c>
      <c r="F104" s="70">
        <f t="shared" si="21"/>
        <v>0.6</v>
      </c>
      <c r="G104" s="16">
        <v>0</v>
      </c>
      <c r="H104" s="16">
        <v>1</v>
      </c>
      <c r="I104" s="70">
        <f t="shared" si="22"/>
        <v>0</v>
      </c>
      <c r="J104" s="16">
        <v>7</v>
      </c>
      <c r="K104" s="16">
        <v>8</v>
      </c>
      <c r="L104" s="70">
        <f t="shared" si="23"/>
        <v>0.875</v>
      </c>
      <c r="M104" s="16">
        <v>9</v>
      </c>
      <c r="N104" s="16">
        <v>4</v>
      </c>
      <c r="O104" s="16">
        <v>0</v>
      </c>
      <c r="P104" s="16">
        <v>2</v>
      </c>
      <c r="Q104" s="16">
        <v>2</v>
      </c>
      <c r="R104" s="16">
        <v>31</v>
      </c>
    </row>
    <row r="105" spans="1:18" x14ac:dyDescent="0.25">
      <c r="A105" s="21">
        <v>42216</v>
      </c>
      <c r="B105" s="20"/>
      <c r="C105" s="15" t="s">
        <v>150</v>
      </c>
      <c r="D105" s="16">
        <v>0</v>
      </c>
      <c r="E105" s="16">
        <v>2</v>
      </c>
      <c r="F105" s="70">
        <f t="shared" si="21"/>
        <v>0</v>
      </c>
      <c r="G105" s="16">
        <v>0</v>
      </c>
      <c r="H105" s="16">
        <v>1</v>
      </c>
      <c r="I105" s="70">
        <f t="shared" si="22"/>
        <v>0</v>
      </c>
      <c r="J105" s="16">
        <v>0</v>
      </c>
      <c r="K105" s="16">
        <v>0</v>
      </c>
      <c r="L105" s="70">
        <f t="shared" si="23"/>
        <v>0</v>
      </c>
      <c r="M105" s="16">
        <v>1</v>
      </c>
      <c r="N105" s="16">
        <v>1</v>
      </c>
      <c r="O105" s="16">
        <v>0</v>
      </c>
      <c r="P105" s="16">
        <v>0</v>
      </c>
      <c r="Q105" s="16">
        <v>0</v>
      </c>
      <c r="R105" s="16">
        <v>0</v>
      </c>
    </row>
    <row r="106" spans="1:18" x14ac:dyDescent="0.25">
      <c r="A106" s="21">
        <v>42216</v>
      </c>
      <c r="B106" s="20"/>
      <c r="C106" s="15" t="s">
        <v>39</v>
      </c>
      <c r="D106" s="16">
        <v>0</v>
      </c>
      <c r="E106" s="16">
        <v>5</v>
      </c>
      <c r="F106" s="70">
        <f t="shared" si="21"/>
        <v>0</v>
      </c>
      <c r="G106" s="16">
        <v>0</v>
      </c>
      <c r="H106" s="16">
        <v>3</v>
      </c>
      <c r="I106" s="70">
        <f t="shared" si="22"/>
        <v>0</v>
      </c>
      <c r="J106" s="16">
        <v>0</v>
      </c>
      <c r="K106" s="16">
        <v>0</v>
      </c>
      <c r="L106" s="70">
        <f t="shared" si="23"/>
        <v>0</v>
      </c>
      <c r="M106" s="16">
        <v>5</v>
      </c>
      <c r="N106" s="16">
        <v>10</v>
      </c>
      <c r="O106" s="16">
        <v>1</v>
      </c>
      <c r="P106" s="16">
        <v>2</v>
      </c>
      <c r="Q106" s="16">
        <v>0</v>
      </c>
      <c r="R106" s="16">
        <v>0</v>
      </c>
    </row>
    <row r="107" spans="1:18" x14ac:dyDescent="0.25">
      <c r="A107" s="73">
        <v>42217</v>
      </c>
      <c r="B107" s="20"/>
      <c r="C107" s="20" t="s">
        <v>38</v>
      </c>
      <c r="D107" s="16">
        <v>4</v>
      </c>
      <c r="E107" s="16">
        <v>8</v>
      </c>
      <c r="F107" s="75">
        <f t="shared" ref="F107:F113" si="24">IF(E107=0,0,D107/E107)</f>
        <v>0.5</v>
      </c>
      <c r="G107" s="16">
        <v>0</v>
      </c>
      <c r="H107" s="16">
        <v>0</v>
      </c>
      <c r="I107" s="75">
        <f t="shared" ref="I107:I113" si="25">IF(H107=0,0,G107/H107)</f>
        <v>0</v>
      </c>
      <c r="J107" s="16">
        <v>0</v>
      </c>
      <c r="K107" s="16">
        <v>0</v>
      </c>
      <c r="L107" s="75">
        <f t="shared" ref="L107:L113" si="26">IF(K107=0,0,J107/K107)</f>
        <v>0</v>
      </c>
      <c r="M107" s="16">
        <v>12</v>
      </c>
      <c r="N107" s="16">
        <v>1</v>
      </c>
      <c r="O107" s="16">
        <v>1</v>
      </c>
      <c r="P107" s="16">
        <v>5</v>
      </c>
      <c r="Q107" s="16">
        <v>1</v>
      </c>
      <c r="R107" s="16">
        <v>8</v>
      </c>
    </row>
    <row r="108" spans="1:18" x14ac:dyDescent="0.25">
      <c r="A108" s="73">
        <v>42217</v>
      </c>
      <c r="B108" s="20"/>
      <c r="C108" s="20" t="s">
        <v>35</v>
      </c>
      <c r="D108" s="16">
        <v>3</v>
      </c>
      <c r="E108" s="16">
        <v>4</v>
      </c>
      <c r="F108" s="75">
        <f t="shared" si="24"/>
        <v>0.75</v>
      </c>
      <c r="G108" s="16">
        <v>1</v>
      </c>
      <c r="H108" s="16">
        <v>2</v>
      </c>
      <c r="I108" s="75">
        <f t="shared" si="25"/>
        <v>0.5</v>
      </c>
      <c r="J108" s="16">
        <v>0</v>
      </c>
      <c r="K108" s="16">
        <v>0</v>
      </c>
      <c r="L108" s="75">
        <f t="shared" si="26"/>
        <v>0</v>
      </c>
      <c r="M108" s="16">
        <v>1</v>
      </c>
      <c r="N108" s="16">
        <v>0</v>
      </c>
      <c r="O108" s="16">
        <v>0</v>
      </c>
      <c r="P108" s="16">
        <v>0</v>
      </c>
      <c r="Q108" s="16">
        <v>0</v>
      </c>
      <c r="R108" s="16">
        <v>7</v>
      </c>
    </row>
    <row r="109" spans="1:18" x14ac:dyDescent="0.25">
      <c r="A109" s="73">
        <v>42218</v>
      </c>
      <c r="B109" s="20"/>
      <c r="C109" s="20" t="s">
        <v>150</v>
      </c>
      <c r="D109" s="16">
        <v>5</v>
      </c>
      <c r="E109" s="16">
        <v>7</v>
      </c>
      <c r="F109" s="75">
        <f t="shared" si="24"/>
        <v>0.7142857142857143</v>
      </c>
      <c r="G109" s="16">
        <v>2</v>
      </c>
      <c r="H109" s="16">
        <v>3</v>
      </c>
      <c r="I109" s="75">
        <f t="shared" si="25"/>
        <v>0.66666666666666663</v>
      </c>
      <c r="J109" s="16">
        <v>1</v>
      </c>
      <c r="K109" s="16">
        <v>2</v>
      </c>
      <c r="L109" s="75">
        <f t="shared" si="26"/>
        <v>0.5</v>
      </c>
      <c r="M109" s="16">
        <v>1</v>
      </c>
      <c r="N109" s="16">
        <v>4</v>
      </c>
      <c r="O109" s="16">
        <v>0</v>
      </c>
      <c r="P109" s="16">
        <v>0</v>
      </c>
      <c r="Q109" s="16">
        <v>0</v>
      </c>
      <c r="R109" s="16">
        <v>13</v>
      </c>
    </row>
    <row r="110" spans="1:18" x14ac:dyDescent="0.25">
      <c r="A110" s="73">
        <v>42218</v>
      </c>
      <c r="B110" s="20"/>
      <c r="C110" s="20" t="s">
        <v>39</v>
      </c>
      <c r="D110" s="16">
        <v>4</v>
      </c>
      <c r="E110" s="16">
        <v>9</v>
      </c>
      <c r="F110" s="75">
        <f t="shared" si="24"/>
        <v>0.44444444444444442</v>
      </c>
      <c r="G110" s="16">
        <v>3</v>
      </c>
      <c r="H110" s="16">
        <v>5</v>
      </c>
      <c r="I110" s="75">
        <f t="shared" si="25"/>
        <v>0.6</v>
      </c>
      <c r="J110" s="16">
        <v>0</v>
      </c>
      <c r="K110" s="16">
        <v>0</v>
      </c>
      <c r="L110" s="75">
        <f t="shared" si="26"/>
        <v>0</v>
      </c>
      <c r="M110" s="16">
        <v>2</v>
      </c>
      <c r="N110" s="16">
        <v>2</v>
      </c>
      <c r="O110" s="16">
        <v>3</v>
      </c>
      <c r="P110" s="16">
        <v>2</v>
      </c>
      <c r="Q110" s="16">
        <v>0</v>
      </c>
      <c r="R110" s="16">
        <v>11</v>
      </c>
    </row>
    <row r="111" spans="1:18" x14ac:dyDescent="0.25">
      <c r="A111" s="73">
        <v>42218</v>
      </c>
      <c r="B111" s="20"/>
      <c r="C111" s="20" t="s">
        <v>37</v>
      </c>
      <c r="D111" s="16">
        <v>7</v>
      </c>
      <c r="E111" s="16">
        <v>14</v>
      </c>
      <c r="F111" s="75">
        <f t="shared" si="24"/>
        <v>0.5</v>
      </c>
      <c r="G111" s="16">
        <v>1</v>
      </c>
      <c r="H111" s="16">
        <v>2</v>
      </c>
      <c r="I111" s="75">
        <f t="shared" si="25"/>
        <v>0.5</v>
      </c>
      <c r="J111" s="16">
        <v>2</v>
      </c>
      <c r="K111" s="16">
        <v>3</v>
      </c>
      <c r="L111" s="75">
        <f t="shared" si="26"/>
        <v>0.66666666666666663</v>
      </c>
      <c r="M111" s="16">
        <v>11</v>
      </c>
      <c r="N111" s="16">
        <v>5</v>
      </c>
      <c r="O111" s="16">
        <v>2</v>
      </c>
      <c r="P111" s="16">
        <v>3</v>
      </c>
      <c r="Q111" s="16">
        <v>3</v>
      </c>
      <c r="R111" s="16">
        <v>17</v>
      </c>
    </row>
    <row r="112" spans="1:18" x14ac:dyDescent="0.25">
      <c r="A112" s="73">
        <v>42218</v>
      </c>
      <c r="B112" s="20"/>
      <c r="C112" s="20" t="s">
        <v>122</v>
      </c>
      <c r="D112" s="16">
        <v>4</v>
      </c>
      <c r="E112" s="16">
        <v>11</v>
      </c>
      <c r="F112" s="75">
        <f t="shared" si="24"/>
        <v>0.36363636363636365</v>
      </c>
      <c r="G112" s="16">
        <v>0</v>
      </c>
      <c r="H112" s="16">
        <v>0</v>
      </c>
      <c r="I112" s="75">
        <f t="shared" si="25"/>
        <v>0</v>
      </c>
      <c r="J112" s="16">
        <v>1</v>
      </c>
      <c r="K112" s="16">
        <v>2</v>
      </c>
      <c r="L112" s="75">
        <f t="shared" si="26"/>
        <v>0.5</v>
      </c>
      <c r="M112" s="16">
        <v>7</v>
      </c>
      <c r="N112" s="16">
        <v>0</v>
      </c>
      <c r="O112" s="16">
        <v>1</v>
      </c>
      <c r="P112" s="16">
        <v>1</v>
      </c>
      <c r="Q112" s="16">
        <v>5</v>
      </c>
      <c r="R112" s="16">
        <v>9</v>
      </c>
    </row>
    <row r="113" spans="1:18" x14ac:dyDescent="0.25">
      <c r="A113" s="73">
        <v>42218</v>
      </c>
      <c r="B113" s="20"/>
      <c r="C113" s="20" t="s">
        <v>36</v>
      </c>
      <c r="D113" s="16">
        <v>4</v>
      </c>
      <c r="E113" s="16">
        <v>11</v>
      </c>
      <c r="F113" s="75">
        <f t="shared" si="24"/>
        <v>0.36363636363636365</v>
      </c>
      <c r="G113" s="16">
        <v>0</v>
      </c>
      <c r="H113" s="16">
        <v>2</v>
      </c>
      <c r="I113" s="75">
        <f t="shared" si="25"/>
        <v>0</v>
      </c>
      <c r="J113" s="16">
        <v>4</v>
      </c>
      <c r="K113" s="16">
        <v>4</v>
      </c>
      <c r="L113" s="75">
        <f t="shared" si="26"/>
        <v>1</v>
      </c>
      <c r="M113" s="16">
        <v>4</v>
      </c>
      <c r="N113" s="16">
        <v>5</v>
      </c>
      <c r="O113" s="16">
        <v>0</v>
      </c>
      <c r="P113" s="16">
        <v>0</v>
      </c>
      <c r="Q113" s="16">
        <v>1</v>
      </c>
      <c r="R113" s="16">
        <v>12</v>
      </c>
    </row>
    <row r="114" spans="1:18" x14ac:dyDescent="0.25">
      <c r="A114" s="73">
        <v>42220</v>
      </c>
      <c r="B114" s="20"/>
      <c r="C114" s="15" t="s">
        <v>36</v>
      </c>
      <c r="D114" s="16">
        <v>6</v>
      </c>
      <c r="E114" s="16">
        <v>9</v>
      </c>
      <c r="F114" s="76">
        <f t="shared" ref="F114:F131" si="27">IF(E114=0,0,D114/E114)</f>
        <v>0.66666666666666663</v>
      </c>
      <c r="G114" s="16">
        <v>1</v>
      </c>
      <c r="H114" s="16">
        <v>2</v>
      </c>
      <c r="I114" s="76">
        <f t="shared" ref="I114:I131" si="28">IF(H114=0,0,G114/H114)</f>
        <v>0.5</v>
      </c>
      <c r="J114" s="16">
        <v>3</v>
      </c>
      <c r="K114" s="16">
        <v>4</v>
      </c>
      <c r="L114" s="76">
        <f t="shared" ref="L114:L131" si="29">IF(K114=0,0,J114/K114)</f>
        <v>0.75</v>
      </c>
      <c r="M114" s="16">
        <v>6</v>
      </c>
      <c r="N114" s="16">
        <v>2</v>
      </c>
      <c r="O114" s="16">
        <v>1</v>
      </c>
      <c r="P114" s="16">
        <v>1</v>
      </c>
      <c r="Q114" s="16">
        <v>1</v>
      </c>
      <c r="R114" s="16">
        <v>16</v>
      </c>
    </row>
    <row r="115" spans="1:18" x14ac:dyDescent="0.25">
      <c r="A115" s="77">
        <v>42220</v>
      </c>
      <c r="B115" s="43"/>
      <c r="C115" s="22" t="s">
        <v>150</v>
      </c>
      <c r="D115" s="23">
        <v>3</v>
      </c>
      <c r="E115" s="23">
        <v>8</v>
      </c>
      <c r="F115" s="38">
        <f t="shared" si="27"/>
        <v>0.375</v>
      </c>
      <c r="G115" s="23">
        <v>0</v>
      </c>
      <c r="H115" s="23">
        <v>3</v>
      </c>
      <c r="I115" s="38">
        <f t="shared" si="28"/>
        <v>0</v>
      </c>
      <c r="J115" s="23">
        <v>0</v>
      </c>
      <c r="K115" s="23">
        <v>0</v>
      </c>
      <c r="L115" s="38">
        <f t="shared" si="29"/>
        <v>0</v>
      </c>
      <c r="M115" s="23">
        <v>1</v>
      </c>
      <c r="N115" s="23">
        <v>2</v>
      </c>
      <c r="O115" s="23">
        <v>1</v>
      </c>
      <c r="P115" s="23">
        <v>2</v>
      </c>
      <c r="Q115" s="23">
        <v>0</v>
      </c>
      <c r="R115" s="25">
        <v>6</v>
      </c>
    </row>
    <row r="116" spans="1:18" x14ac:dyDescent="0.25">
      <c r="A116" s="77">
        <v>42220</v>
      </c>
      <c r="B116" s="43"/>
      <c r="C116" s="22" t="s">
        <v>38</v>
      </c>
      <c r="D116" s="23">
        <v>3</v>
      </c>
      <c r="E116" s="23">
        <v>6</v>
      </c>
      <c r="F116" s="38">
        <f t="shared" si="27"/>
        <v>0.5</v>
      </c>
      <c r="G116" s="23">
        <v>0</v>
      </c>
      <c r="H116" s="23">
        <v>0</v>
      </c>
      <c r="I116" s="38">
        <f t="shared" si="28"/>
        <v>0</v>
      </c>
      <c r="J116" s="23">
        <v>0</v>
      </c>
      <c r="K116" s="23">
        <v>0</v>
      </c>
      <c r="L116" s="38">
        <f t="shared" si="29"/>
        <v>0</v>
      </c>
      <c r="M116" s="23">
        <v>9</v>
      </c>
      <c r="N116" s="23">
        <v>2</v>
      </c>
      <c r="O116" s="23">
        <v>0</v>
      </c>
      <c r="P116" s="23">
        <v>1</v>
      </c>
      <c r="Q116" s="23">
        <v>0</v>
      </c>
      <c r="R116" s="25">
        <v>6</v>
      </c>
    </row>
    <row r="117" spans="1:18" x14ac:dyDescent="0.25">
      <c r="A117" s="77">
        <v>42220</v>
      </c>
      <c r="B117" s="43"/>
      <c r="C117" s="22" t="s">
        <v>35</v>
      </c>
      <c r="D117" s="23">
        <v>5</v>
      </c>
      <c r="E117" s="23">
        <v>10</v>
      </c>
      <c r="F117" s="38">
        <f t="shared" si="27"/>
        <v>0.5</v>
      </c>
      <c r="G117" s="23">
        <v>2</v>
      </c>
      <c r="H117" s="23">
        <v>4</v>
      </c>
      <c r="I117" s="38">
        <f t="shared" si="28"/>
        <v>0.5</v>
      </c>
      <c r="J117" s="23">
        <v>5</v>
      </c>
      <c r="K117" s="23">
        <v>6</v>
      </c>
      <c r="L117" s="38">
        <f t="shared" si="29"/>
        <v>0.83333333333333337</v>
      </c>
      <c r="M117" s="23">
        <v>6</v>
      </c>
      <c r="N117" s="23">
        <v>3</v>
      </c>
      <c r="O117" s="23">
        <v>2</v>
      </c>
      <c r="P117" s="23">
        <v>3</v>
      </c>
      <c r="Q117" s="23">
        <v>0</v>
      </c>
      <c r="R117" s="25">
        <v>17</v>
      </c>
    </row>
    <row r="118" spans="1:18" x14ac:dyDescent="0.25">
      <c r="A118" s="77">
        <v>42220</v>
      </c>
      <c r="B118" s="43"/>
      <c r="C118" s="22" t="s">
        <v>122</v>
      </c>
      <c r="D118" s="23">
        <v>7</v>
      </c>
      <c r="E118" s="23">
        <v>13</v>
      </c>
      <c r="F118" s="38">
        <f t="shared" si="27"/>
        <v>0.53846153846153844</v>
      </c>
      <c r="G118" s="23">
        <v>0</v>
      </c>
      <c r="H118" s="23">
        <v>0</v>
      </c>
      <c r="I118" s="38">
        <f t="shared" si="28"/>
        <v>0</v>
      </c>
      <c r="J118" s="23">
        <v>4</v>
      </c>
      <c r="K118" s="23">
        <v>7</v>
      </c>
      <c r="L118" s="38">
        <f t="shared" si="29"/>
        <v>0.5714285714285714</v>
      </c>
      <c r="M118" s="23">
        <v>13</v>
      </c>
      <c r="N118" s="23">
        <v>3</v>
      </c>
      <c r="O118" s="23">
        <v>0</v>
      </c>
      <c r="P118" s="23">
        <v>5</v>
      </c>
      <c r="Q118" s="23">
        <v>5</v>
      </c>
      <c r="R118" s="25">
        <v>18</v>
      </c>
    </row>
    <row r="119" spans="1:18" x14ac:dyDescent="0.25">
      <c r="A119" s="77">
        <v>42220</v>
      </c>
      <c r="B119" s="43"/>
      <c r="C119" s="22" t="s">
        <v>37</v>
      </c>
      <c r="D119" s="23">
        <v>7</v>
      </c>
      <c r="E119" s="23">
        <v>17</v>
      </c>
      <c r="F119" s="38">
        <f t="shared" si="27"/>
        <v>0.41176470588235292</v>
      </c>
      <c r="G119" s="23">
        <v>0</v>
      </c>
      <c r="H119" s="23">
        <v>1</v>
      </c>
      <c r="I119" s="38">
        <f t="shared" si="28"/>
        <v>0</v>
      </c>
      <c r="J119" s="23">
        <v>4</v>
      </c>
      <c r="K119" s="23">
        <v>4</v>
      </c>
      <c r="L119" s="38">
        <f t="shared" si="29"/>
        <v>1</v>
      </c>
      <c r="M119" s="23">
        <v>13</v>
      </c>
      <c r="N119" s="23">
        <v>5</v>
      </c>
      <c r="O119" s="23">
        <v>4</v>
      </c>
      <c r="P119" s="23">
        <v>2</v>
      </c>
      <c r="Q119" s="23">
        <v>2</v>
      </c>
      <c r="R119" s="25">
        <v>18</v>
      </c>
    </row>
    <row r="120" spans="1:18" x14ac:dyDescent="0.25">
      <c r="A120" s="77">
        <v>42222</v>
      </c>
      <c r="B120" s="43"/>
      <c r="C120" s="22" t="s">
        <v>35</v>
      </c>
      <c r="D120" s="23">
        <v>1</v>
      </c>
      <c r="E120" s="23">
        <v>6</v>
      </c>
      <c r="F120" s="38">
        <f t="shared" si="27"/>
        <v>0.16666666666666666</v>
      </c>
      <c r="G120" s="23">
        <v>0</v>
      </c>
      <c r="H120" s="23">
        <v>3</v>
      </c>
      <c r="I120" s="38">
        <f t="shared" si="28"/>
        <v>0</v>
      </c>
      <c r="J120" s="23">
        <v>6</v>
      </c>
      <c r="K120" s="23">
        <v>8</v>
      </c>
      <c r="L120" s="38">
        <f t="shared" si="29"/>
        <v>0.75</v>
      </c>
      <c r="M120" s="23">
        <v>3</v>
      </c>
      <c r="N120" s="23">
        <v>0</v>
      </c>
      <c r="O120" s="23">
        <v>3</v>
      </c>
      <c r="P120" s="23">
        <v>2</v>
      </c>
      <c r="Q120" s="23">
        <v>0</v>
      </c>
      <c r="R120" s="25">
        <v>8</v>
      </c>
    </row>
    <row r="121" spans="1:18" x14ac:dyDescent="0.25">
      <c r="A121" s="77">
        <v>42222</v>
      </c>
      <c r="B121" s="43"/>
      <c r="C121" s="22" t="s">
        <v>37</v>
      </c>
      <c r="D121" s="23">
        <v>4</v>
      </c>
      <c r="E121" s="23">
        <v>9</v>
      </c>
      <c r="F121" s="38">
        <f t="shared" si="27"/>
        <v>0.44444444444444442</v>
      </c>
      <c r="G121" s="23">
        <v>0</v>
      </c>
      <c r="H121" s="23">
        <v>0</v>
      </c>
      <c r="I121" s="38">
        <f t="shared" si="28"/>
        <v>0</v>
      </c>
      <c r="J121" s="23">
        <v>2</v>
      </c>
      <c r="K121" s="23">
        <v>2</v>
      </c>
      <c r="L121" s="38">
        <f t="shared" si="29"/>
        <v>1</v>
      </c>
      <c r="M121" s="23">
        <v>12</v>
      </c>
      <c r="N121" s="23">
        <v>6</v>
      </c>
      <c r="O121" s="23">
        <v>1</v>
      </c>
      <c r="P121" s="23">
        <v>2</v>
      </c>
      <c r="Q121" s="23">
        <v>2</v>
      </c>
      <c r="R121" s="25">
        <v>10</v>
      </c>
    </row>
    <row r="122" spans="1:18" x14ac:dyDescent="0.25">
      <c r="A122" s="77">
        <v>42222</v>
      </c>
      <c r="B122" s="43"/>
      <c r="C122" s="22" t="s">
        <v>150</v>
      </c>
      <c r="D122" s="23">
        <v>1</v>
      </c>
      <c r="E122" s="23">
        <v>4</v>
      </c>
      <c r="F122" s="38">
        <f t="shared" si="27"/>
        <v>0.25</v>
      </c>
      <c r="G122" s="23">
        <v>0</v>
      </c>
      <c r="H122" s="23">
        <v>1</v>
      </c>
      <c r="I122" s="38">
        <f t="shared" si="28"/>
        <v>0</v>
      </c>
      <c r="J122" s="23">
        <v>0</v>
      </c>
      <c r="K122" s="23">
        <v>0</v>
      </c>
      <c r="L122" s="38">
        <f t="shared" si="29"/>
        <v>0</v>
      </c>
      <c r="M122" s="23">
        <v>0</v>
      </c>
      <c r="N122" s="23">
        <v>1</v>
      </c>
      <c r="O122" s="23">
        <v>0</v>
      </c>
      <c r="P122" s="23">
        <v>1</v>
      </c>
      <c r="Q122" s="23">
        <v>0</v>
      </c>
      <c r="R122" s="25">
        <v>2</v>
      </c>
    </row>
    <row r="123" spans="1:18" x14ac:dyDescent="0.25">
      <c r="A123" s="77">
        <v>42223</v>
      </c>
      <c r="B123" s="43"/>
      <c r="C123" s="22" t="s">
        <v>36</v>
      </c>
      <c r="D123" s="23">
        <v>2</v>
      </c>
      <c r="E123" s="23">
        <v>13</v>
      </c>
      <c r="F123" s="38">
        <f t="shared" si="27"/>
        <v>0.15384615384615385</v>
      </c>
      <c r="G123" s="23">
        <v>0</v>
      </c>
      <c r="H123" s="23">
        <v>2</v>
      </c>
      <c r="I123" s="38">
        <f t="shared" si="28"/>
        <v>0</v>
      </c>
      <c r="J123" s="23">
        <v>8</v>
      </c>
      <c r="K123" s="23">
        <v>9</v>
      </c>
      <c r="L123" s="38">
        <f t="shared" si="29"/>
        <v>0.88888888888888884</v>
      </c>
      <c r="M123" s="23">
        <v>5</v>
      </c>
      <c r="N123" s="23">
        <v>0</v>
      </c>
      <c r="O123" s="23">
        <v>1</v>
      </c>
      <c r="P123" s="23">
        <v>1</v>
      </c>
      <c r="Q123" s="23">
        <v>0</v>
      </c>
      <c r="R123" s="25">
        <v>12</v>
      </c>
    </row>
    <row r="124" spans="1:18" x14ac:dyDescent="0.25">
      <c r="A124" s="77">
        <v>42223</v>
      </c>
      <c r="B124" s="43"/>
      <c r="C124" s="22" t="s">
        <v>122</v>
      </c>
      <c r="D124" s="23">
        <v>6</v>
      </c>
      <c r="E124" s="23">
        <v>8</v>
      </c>
      <c r="F124" s="38">
        <f t="shared" si="27"/>
        <v>0.75</v>
      </c>
      <c r="G124" s="23">
        <v>0</v>
      </c>
      <c r="H124" s="23">
        <v>0</v>
      </c>
      <c r="I124" s="38">
        <f t="shared" si="28"/>
        <v>0</v>
      </c>
      <c r="J124" s="23">
        <v>1</v>
      </c>
      <c r="K124" s="23">
        <v>1</v>
      </c>
      <c r="L124" s="38">
        <f t="shared" si="29"/>
        <v>1</v>
      </c>
      <c r="M124" s="23">
        <v>12</v>
      </c>
      <c r="N124" s="23">
        <v>2</v>
      </c>
      <c r="O124" s="23">
        <v>0</v>
      </c>
      <c r="P124" s="23">
        <v>1</v>
      </c>
      <c r="Q124" s="23">
        <v>6</v>
      </c>
      <c r="R124" s="25">
        <v>13</v>
      </c>
    </row>
    <row r="125" spans="1:18" x14ac:dyDescent="0.25">
      <c r="A125" s="77">
        <v>42223</v>
      </c>
      <c r="B125" s="43"/>
      <c r="C125" s="22" t="s">
        <v>38</v>
      </c>
      <c r="D125" s="23">
        <v>4</v>
      </c>
      <c r="E125" s="23">
        <v>7</v>
      </c>
      <c r="F125" s="38">
        <f t="shared" si="27"/>
        <v>0.5714285714285714</v>
      </c>
      <c r="G125" s="23">
        <v>0</v>
      </c>
      <c r="H125" s="23">
        <v>0</v>
      </c>
      <c r="I125" s="38">
        <f t="shared" si="28"/>
        <v>0</v>
      </c>
      <c r="J125" s="23">
        <v>0</v>
      </c>
      <c r="K125" s="23">
        <v>0</v>
      </c>
      <c r="L125" s="38">
        <f t="shared" si="29"/>
        <v>0</v>
      </c>
      <c r="M125" s="23">
        <v>6</v>
      </c>
      <c r="N125" s="23">
        <v>4</v>
      </c>
      <c r="O125" s="23">
        <v>0</v>
      </c>
      <c r="P125" s="23">
        <v>1</v>
      </c>
      <c r="Q125" s="23">
        <v>1</v>
      </c>
      <c r="R125" s="25">
        <v>8</v>
      </c>
    </row>
    <row r="126" spans="1:18" x14ac:dyDescent="0.25">
      <c r="A126" s="77">
        <v>42223</v>
      </c>
      <c r="B126" s="43"/>
      <c r="C126" s="22" t="s">
        <v>39</v>
      </c>
      <c r="D126" s="23">
        <v>3</v>
      </c>
      <c r="E126" s="23">
        <v>5</v>
      </c>
      <c r="F126" s="38">
        <f t="shared" si="27"/>
        <v>0.6</v>
      </c>
      <c r="G126" s="23">
        <v>1</v>
      </c>
      <c r="H126" s="23">
        <v>2</v>
      </c>
      <c r="I126" s="38">
        <f t="shared" si="28"/>
        <v>0.5</v>
      </c>
      <c r="J126" s="23">
        <v>1</v>
      </c>
      <c r="K126" s="23">
        <v>1</v>
      </c>
      <c r="L126" s="38">
        <f t="shared" si="29"/>
        <v>1</v>
      </c>
      <c r="M126" s="23">
        <v>4</v>
      </c>
      <c r="N126" s="23">
        <v>3</v>
      </c>
      <c r="O126" s="23">
        <v>0</v>
      </c>
      <c r="P126" s="23">
        <v>7</v>
      </c>
      <c r="Q126" s="23">
        <v>1</v>
      </c>
      <c r="R126" s="25">
        <v>8</v>
      </c>
    </row>
    <row r="127" spans="1:18" x14ac:dyDescent="0.25">
      <c r="A127" s="72">
        <v>42225</v>
      </c>
      <c r="B127" s="43"/>
      <c r="C127" s="22" t="s">
        <v>36</v>
      </c>
      <c r="D127" s="23">
        <v>2</v>
      </c>
      <c r="E127" s="23">
        <v>11</v>
      </c>
      <c r="F127" s="38">
        <f t="shared" si="27"/>
        <v>0.18181818181818182</v>
      </c>
      <c r="G127" s="23">
        <v>0</v>
      </c>
      <c r="H127" s="23">
        <v>1</v>
      </c>
      <c r="I127" s="38">
        <f t="shared" si="28"/>
        <v>0</v>
      </c>
      <c r="J127" s="23">
        <v>1</v>
      </c>
      <c r="K127" s="23">
        <v>2</v>
      </c>
      <c r="L127" s="38">
        <f t="shared" si="29"/>
        <v>0.5</v>
      </c>
      <c r="M127" s="23">
        <v>5</v>
      </c>
      <c r="N127" s="23">
        <v>0</v>
      </c>
      <c r="O127" s="23">
        <v>1</v>
      </c>
      <c r="P127" s="23">
        <v>1</v>
      </c>
      <c r="Q127" s="23">
        <v>0</v>
      </c>
      <c r="R127" s="25">
        <v>5</v>
      </c>
    </row>
    <row r="128" spans="1:18" x14ac:dyDescent="0.25">
      <c r="A128" s="72">
        <v>42225</v>
      </c>
      <c r="B128" s="43"/>
      <c r="C128" s="22" t="s">
        <v>122</v>
      </c>
      <c r="D128" s="23">
        <v>9</v>
      </c>
      <c r="E128" s="23">
        <v>14</v>
      </c>
      <c r="F128" s="38">
        <f t="shared" si="27"/>
        <v>0.6428571428571429</v>
      </c>
      <c r="G128" s="23">
        <v>0</v>
      </c>
      <c r="H128" s="23">
        <v>0</v>
      </c>
      <c r="I128" s="38">
        <f t="shared" si="28"/>
        <v>0</v>
      </c>
      <c r="J128" s="23">
        <v>3</v>
      </c>
      <c r="K128" s="23">
        <v>5</v>
      </c>
      <c r="L128" s="38">
        <f t="shared" si="29"/>
        <v>0.6</v>
      </c>
      <c r="M128" s="23">
        <v>14</v>
      </c>
      <c r="N128" s="23">
        <v>0</v>
      </c>
      <c r="O128" s="23">
        <v>0</v>
      </c>
      <c r="P128" s="23">
        <v>1</v>
      </c>
      <c r="Q128" s="23">
        <v>5</v>
      </c>
      <c r="R128" s="25">
        <v>21</v>
      </c>
    </row>
    <row r="129" spans="1:18" x14ac:dyDescent="0.25">
      <c r="A129" s="71">
        <v>42225</v>
      </c>
      <c r="B129" s="20"/>
      <c r="C129" s="15" t="s">
        <v>38</v>
      </c>
      <c r="D129" s="16">
        <v>3</v>
      </c>
      <c r="E129" s="16">
        <v>7</v>
      </c>
      <c r="F129" s="76">
        <f t="shared" si="27"/>
        <v>0.42857142857142855</v>
      </c>
      <c r="G129" s="16">
        <v>0</v>
      </c>
      <c r="H129" s="16">
        <v>0</v>
      </c>
      <c r="I129" s="76">
        <f t="shared" si="28"/>
        <v>0</v>
      </c>
      <c r="J129" s="16">
        <v>4</v>
      </c>
      <c r="K129" s="16">
        <v>4</v>
      </c>
      <c r="L129" s="76">
        <f t="shared" si="29"/>
        <v>1</v>
      </c>
      <c r="M129" s="16">
        <v>6</v>
      </c>
      <c r="N129" s="16">
        <v>2</v>
      </c>
      <c r="O129" s="16">
        <v>2</v>
      </c>
      <c r="P129" s="16">
        <v>0</v>
      </c>
      <c r="Q129" s="16">
        <v>0</v>
      </c>
      <c r="R129" s="16">
        <v>10</v>
      </c>
    </row>
    <row r="130" spans="1:18" x14ac:dyDescent="0.25">
      <c r="A130" s="71">
        <v>42225</v>
      </c>
      <c r="B130" s="20"/>
      <c r="C130" s="15" t="s">
        <v>150</v>
      </c>
      <c r="D130" s="16">
        <v>2</v>
      </c>
      <c r="E130" s="16">
        <v>8</v>
      </c>
      <c r="F130" s="76">
        <f t="shared" si="27"/>
        <v>0.25</v>
      </c>
      <c r="G130" s="16">
        <v>1</v>
      </c>
      <c r="H130" s="16">
        <v>2</v>
      </c>
      <c r="I130" s="76">
        <f t="shared" si="28"/>
        <v>0.5</v>
      </c>
      <c r="J130" s="16">
        <v>0</v>
      </c>
      <c r="K130" s="16">
        <v>0</v>
      </c>
      <c r="L130" s="76">
        <f t="shared" si="29"/>
        <v>0</v>
      </c>
      <c r="M130" s="16">
        <v>3</v>
      </c>
      <c r="N130" s="16">
        <v>1</v>
      </c>
      <c r="O130" s="16">
        <v>2</v>
      </c>
      <c r="P130" s="16">
        <v>0</v>
      </c>
      <c r="Q130" s="16">
        <v>0</v>
      </c>
      <c r="R130" s="16">
        <v>5</v>
      </c>
    </row>
    <row r="131" spans="1:18" x14ac:dyDescent="0.25">
      <c r="A131" s="71">
        <v>42225</v>
      </c>
      <c r="B131" s="20"/>
      <c r="C131" s="15" t="s">
        <v>37</v>
      </c>
      <c r="D131" s="16">
        <v>3</v>
      </c>
      <c r="E131" s="16">
        <v>10</v>
      </c>
      <c r="F131" s="76">
        <f t="shared" si="27"/>
        <v>0.3</v>
      </c>
      <c r="G131" s="16">
        <v>0</v>
      </c>
      <c r="H131" s="16">
        <v>3</v>
      </c>
      <c r="I131" s="76">
        <f t="shared" si="28"/>
        <v>0</v>
      </c>
      <c r="J131" s="16">
        <v>4</v>
      </c>
      <c r="K131" s="16">
        <v>4</v>
      </c>
      <c r="L131" s="76">
        <f t="shared" si="29"/>
        <v>1</v>
      </c>
      <c r="M131" s="16">
        <v>8</v>
      </c>
      <c r="N131" s="16">
        <v>6</v>
      </c>
      <c r="O131" s="16">
        <v>2</v>
      </c>
      <c r="P131" s="16">
        <v>4</v>
      </c>
      <c r="Q131" s="16">
        <v>3</v>
      </c>
      <c r="R131" s="16">
        <v>10</v>
      </c>
    </row>
    <row r="132" spans="1:18" x14ac:dyDescent="0.25">
      <c r="A132" s="79">
        <v>42227</v>
      </c>
      <c r="B132" s="60"/>
      <c r="C132" s="59" t="s">
        <v>36</v>
      </c>
      <c r="D132" s="57">
        <v>10</v>
      </c>
      <c r="E132" s="57">
        <v>18</v>
      </c>
      <c r="F132" s="78">
        <f t="shared" ref="F132:F140" si="30">IF(E132=0,0,D132/E132)</f>
        <v>0.55555555555555558</v>
      </c>
      <c r="G132" s="57">
        <v>1</v>
      </c>
      <c r="H132" s="57">
        <v>2</v>
      </c>
      <c r="I132" s="78">
        <f t="shared" ref="I132:I140" si="31">IF(H132=0,0,G132/H132)</f>
        <v>0.5</v>
      </c>
      <c r="J132" s="57">
        <v>2</v>
      </c>
      <c r="K132" s="57">
        <v>3</v>
      </c>
      <c r="L132" s="78">
        <f t="shared" ref="L132:L140" si="32">IF(K132=0,0,J132/K132)</f>
        <v>0.66666666666666663</v>
      </c>
      <c r="M132" s="57">
        <v>3</v>
      </c>
      <c r="N132" s="57">
        <v>1</v>
      </c>
      <c r="O132" s="57">
        <v>1</v>
      </c>
      <c r="P132" s="57">
        <v>3</v>
      </c>
      <c r="Q132" s="57">
        <v>0</v>
      </c>
      <c r="R132" s="57">
        <v>23</v>
      </c>
    </row>
    <row r="133" spans="1:18" x14ac:dyDescent="0.25">
      <c r="A133" s="79">
        <v>42227</v>
      </c>
      <c r="B133" s="60"/>
      <c r="C133" s="59" t="s">
        <v>38</v>
      </c>
      <c r="D133" s="57">
        <v>2</v>
      </c>
      <c r="E133" s="57">
        <v>6</v>
      </c>
      <c r="F133" s="78">
        <f t="shared" si="30"/>
        <v>0.33333333333333331</v>
      </c>
      <c r="G133" s="57">
        <v>0</v>
      </c>
      <c r="H133" s="57">
        <v>0</v>
      </c>
      <c r="I133" s="78">
        <f t="shared" si="31"/>
        <v>0</v>
      </c>
      <c r="J133" s="57">
        <v>0</v>
      </c>
      <c r="K133" s="57">
        <v>0</v>
      </c>
      <c r="L133" s="78">
        <f t="shared" si="32"/>
        <v>0</v>
      </c>
      <c r="M133" s="57">
        <v>7</v>
      </c>
      <c r="N133" s="57">
        <v>2</v>
      </c>
      <c r="O133" s="57">
        <v>0</v>
      </c>
      <c r="P133" s="57">
        <v>0</v>
      </c>
      <c r="Q133" s="57">
        <v>1</v>
      </c>
      <c r="R133" s="57">
        <v>4</v>
      </c>
    </row>
    <row r="134" spans="1:18" x14ac:dyDescent="0.25">
      <c r="A134" s="79">
        <v>42227</v>
      </c>
      <c r="B134" s="60"/>
      <c r="C134" s="59" t="s">
        <v>150</v>
      </c>
      <c r="D134" s="57">
        <v>3</v>
      </c>
      <c r="E134" s="57">
        <v>5</v>
      </c>
      <c r="F134" s="78">
        <f t="shared" si="30"/>
        <v>0.6</v>
      </c>
      <c r="G134" s="57">
        <v>3</v>
      </c>
      <c r="H134" s="57">
        <v>4</v>
      </c>
      <c r="I134" s="78">
        <f t="shared" si="31"/>
        <v>0.75</v>
      </c>
      <c r="J134" s="57">
        <v>0</v>
      </c>
      <c r="K134" s="57">
        <v>0</v>
      </c>
      <c r="L134" s="78">
        <f t="shared" si="32"/>
        <v>0</v>
      </c>
      <c r="M134" s="57">
        <v>2</v>
      </c>
      <c r="N134" s="57">
        <v>0</v>
      </c>
      <c r="O134" s="57">
        <v>0</v>
      </c>
      <c r="P134" s="57">
        <v>1</v>
      </c>
      <c r="Q134" s="57">
        <v>0</v>
      </c>
      <c r="R134" s="57">
        <v>9</v>
      </c>
    </row>
    <row r="135" spans="1:18" x14ac:dyDescent="0.25">
      <c r="A135" s="79">
        <v>42227</v>
      </c>
      <c r="B135" s="60"/>
      <c r="C135" s="59" t="s">
        <v>37</v>
      </c>
      <c r="D135" s="57">
        <v>3</v>
      </c>
      <c r="E135" s="57">
        <v>12</v>
      </c>
      <c r="F135" s="78">
        <f t="shared" si="30"/>
        <v>0.25</v>
      </c>
      <c r="G135" s="57">
        <v>0</v>
      </c>
      <c r="H135" s="57">
        <v>3</v>
      </c>
      <c r="I135" s="78">
        <f t="shared" si="31"/>
        <v>0</v>
      </c>
      <c r="J135" s="57">
        <v>6</v>
      </c>
      <c r="K135" s="57">
        <v>7</v>
      </c>
      <c r="L135" s="78">
        <f t="shared" si="32"/>
        <v>0.8571428571428571</v>
      </c>
      <c r="M135" s="57">
        <v>10</v>
      </c>
      <c r="N135" s="57">
        <v>9</v>
      </c>
      <c r="O135" s="57">
        <v>0</v>
      </c>
      <c r="P135" s="57">
        <v>2</v>
      </c>
      <c r="Q135" s="57">
        <v>2</v>
      </c>
      <c r="R135" s="57">
        <v>12</v>
      </c>
    </row>
    <row r="136" spans="1:18" x14ac:dyDescent="0.25">
      <c r="A136" s="79">
        <v>42228</v>
      </c>
      <c r="B136" s="60"/>
      <c r="C136" s="59" t="s">
        <v>35</v>
      </c>
      <c r="D136" s="57">
        <v>6</v>
      </c>
      <c r="E136" s="57">
        <v>12</v>
      </c>
      <c r="F136" s="78">
        <f t="shared" si="30"/>
        <v>0.5</v>
      </c>
      <c r="G136" s="57">
        <v>1</v>
      </c>
      <c r="H136" s="57">
        <v>1</v>
      </c>
      <c r="I136" s="78">
        <f t="shared" si="31"/>
        <v>1</v>
      </c>
      <c r="J136" s="57">
        <v>2</v>
      </c>
      <c r="K136" s="57">
        <v>2</v>
      </c>
      <c r="L136" s="78">
        <f t="shared" si="32"/>
        <v>1</v>
      </c>
      <c r="M136" s="57">
        <v>4</v>
      </c>
      <c r="N136" s="57">
        <v>1</v>
      </c>
      <c r="O136" s="57">
        <v>0</v>
      </c>
      <c r="P136" s="57">
        <v>1</v>
      </c>
      <c r="Q136" s="57">
        <v>0</v>
      </c>
      <c r="R136" s="57">
        <v>15</v>
      </c>
    </row>
    <row r="137" spans="1:18" x14ac:dyDescent="0.25">
      <c r="A137" s="79">
        <v>42228</v>
      </c>
      <c r="B137" s="60"/>
      <c r="C137" s="59" t="s">
        <v>122</v>
      </c>
      <c r="D137" s="57">
        <v>0</v>
      </c>
      <c r="E137" s="57">
        <v>4</v>
      </c>
      <c r="F137" s="78">
        <f t="shared" si="30"/>
        <v>0</v>
      </c>
      <c r="G137" s="57">
        <v>0</v>
      </c>
      <c r="H137" s="57">
        <v>0</v>
      </c>
      <c r="I137" s="78">
        <f t="shared" si="31"/>
        <v>0</v>
      </c>
      <c r="J137" s="57">
        <v>4</v>
      </c>
      <c r="K137" s="57">
        <v>4</v>
      </c>
      <c r="L137" s="78">
        <f t="shared" si="32"/>
        <v>1</v>
      </c>
      <c r="M137" s="57">
        <v>5</v>
      </c>
      <c r="N137" s="57">
        <v>3</v>
      </c>
      <c r="O137" s="57">
        <v>0</v>
      </c>
      <c r="P137" s="57">
        <v>1</v>
      </c>
      <c r="Q137" s="57">
        <v>2</v>
      </c>
      <c r="R137" s="57">
        <v>4</v>
      </c>
    </row>
    <row r="138" spans="1:18" x14ac:dyDescent="0.25">
      <c r="A138" s="79">
        <v>42230</v>
      </c>
      <c r="B138" s="60"/>
      <c r="C138" s="59" t="s">
        <v>38</v>
      </c>
      <c r="D138" s="57">
        <v>0</v>
      </c>
      <c r="E138" s="57">
        <v>6</v>
      </c>
      <c r="F138" s="78">
        <f t="shared" si="30"/>
        <v>0</v>
      </c>
      <c r="G138" s="57">
        <v>0</v>
      </c>
      <c r="H138" s="57">
        <v>0</v>
      </c>
      <c r="I138" s="78">
        <f t="shared" si="31"/>
        <v>0</v>
      </c>
      <c r="J138" s="57">
        <v>0</v>
      </c>
      <c r="K138" s="57">
        <v>0</v>
      </c>
      <c r="L138" s="78">
        <f t="shared" si="32"/>
        <v>0</v>
      </c>
      <c r="M138" s="57">
        <v>5</v>
      </c>
      <c r="N138" s="57">
        <v>3</v>
      </c>
      <c r="O138" s="57">
        <v>0</v>
      </c>
      <c r="P138" s="57">
        <v>2</v>
      </c>
      <c r="Q138" s="57">
        <v>1</v>
      </c>
      <c r="R138" s="57">
        <v>0</v>
      </c>
    </row>
    <row r="139" spans="1:18" x14ac:dyDescent="0.25">
      <c r="A139" s="79">
        <v>42230</v>
      </c>
      <c r="B139" s="60"/>
      <c r="C139" s="59" t="s">
        <v>36</v>
      </c>
      <c r="D139" s="57">
        <v>5</v>
      </c>
      <c r="E139" s="57">
        <v>10</v>
      </c>
      <c r="F139" s="78">
        <f t="shared" si="30"/>
        <v>0.5</v>
      </c>
      <c r="G139" s="57">
        <v>0</v>
      </c>
      <c r="H139" s="57">
        <v>2</v>
      </c>
      <c r="I139" s="78">
        <f t="shared" si="31"/>
        <v>0</v>
      </c>
      <c r="J139" s="57">
        <v>3</v>
      </c>
      <c r="K139" s="57">
        <v>4</v>
      </c>
      <c r="L139" s="78">
        <f t="shared" si="32"/>
        <v>0.75</v>
      </c>
      <c r="M139" s="57">
        <v>1</v>
      </c>
      <c r="N139" s="57">
        <v>1</v>
      </c>
      <c r="O139" s="57">
        <v>0</v>
      </c>
      <c r="P139" s="57">
        <v>2</v>
      </c>
      <c r="Q139" s="57">
        <v>0</v>
      </c>
      <c r="R139" s="57">
        <v>13</v>
      </c>
    </row>
    <row r="140" spans="1:18" x14ac:dyDescent="0.25">
      <c r="A140" s="79">
        <v>42230</v>
      </c>
      <c r="B140" s="60"/>
      <c r="C140" s="59" t="s">
        <v>39</v>
      </c>
      <c r="D140" s="57">
        <v>7</v>
      </c>
      <c r="E140" s="57">
        <v>19</v>
      </c>
      <c r="F140" s="78">
        <f t="shared" si="30"/>
        <v>0.36842105263157893</v>
      </c>
      <c r="G140" s="57">
        <v>2</v>
      </c>
      <c r="H140" s="57">
        <v>8</v>
      </c>
      <c r="I140" s="78">
        <f t="shared" si="31"/>
        <v>0.25</v>
      </c>
      <c r="J140" s="57">
        <v>2</v>
      </c>
      <c r="K140" s="57">
        <v>2</v>
      </c>
      <c r="L140" s="78">
        <f t="shared" si="32"/>
        <v>1</v>
      </c>
      <c r="M140" s="57">
        <v>6</v>
      </c>
      <c r="N140" s="57">
        <v>8</v>
      </c>
      <c r="O140" s="57">
        <v>1</v>
      </c>
      <c r="P140" s="57">
        <v>2</v>
      </c>
      <c r="Q140" s="57">
        <v>0</v>
      </c>
      <c r="R140" s="57">
        <v>18</v>
      </c>
    </row>
    <row r="141" spans="1:18" x14ac:dyDescent="0.25">
      <c r="A141" s="43">
        <v>42231</v>
      </c>
      <c r="B141" s="47"/>
      <c r="C141" s="81" t="s">
        <v>35</v>
      </c>
      <c r="D141" s="84">
        <v>4</v>
      </c>
      <c r="E141" s="84">
        <v>8</v>
      </c>
      <c r="F141" s="85">
        <f t="shared" ref="F141:F147" si="33">IF(E141=0,0,D141/E141)</f>
        <v>0.5</v>
      </c>
      <c r="G141" s="84">
        <v>2</v>
      </c>
      <c r="H141" s="84">
        <v>4</v>
      </c>
      <c r="I141" s="85">
        <f t="shared" ref="I141:I147" si="34">IF(H141=0,0,G141/H141)</f>
        <v>0.5</v>
      </c>
      <c r="J141" s="84">
        <v>1</v>
      </c>
      <c r="K141" s="84">
        <v>2</v>
      </c>
      <c r="L141" s="85">
        <f t="shared" ref="L141:L147" si="35">IF(K141=0,0,J141/K141)</f>
        <v>0.5</v>
      </c>
      <c r="M141" s="84">
        <v>5</v>
      </c>
      <c r="N141" s="84">
        <v>3</v>
      </c>
      <c r="O141" s="84">
        <v>1</v>
      </c>
      <c r="P141" s="84">
        <v>1</v>
      </c>
      <c r="Q141" s="84">
        <v>0</v>
      </c>
      <c r="R141" s="84">
        <v>11</v>
      </c>
    </row>
    <row r="142" spans="1:18" x14ac:dyDescent="0.25">
      <c r="A142" s="43">
        <v>42232</v>
      </c>
      <c r="B142" s="47"/>
      <c r="C142" s="80" t="s">
        <v>38</v>
      </c>
      <c r="D142" s="84">
        <v>5</v>
      </c>
      <c r="E142" s="84">
        <v>9</v>
      </c>
      <c r="F142" s="85">
        <f t="shared" si="33"/>
        <v>0.55555555555555558</v>
      </c>
      <c r="G142" s="84">
        <v>0</v>
      </c>
      <c r="H142" s="84">
        <v>0</v>
      </c>
      <c r="I142" s="85">
        <f t="shared" si="34"/>
        <v>0</v>
      </c>
      <c r="J142" s="84">
        <v>0</v>
      </c>
      <c r="K142" s="84">
        <v>0</v>
      </c>
      <c r="L142" s="85">
        <f t="shared" si="35"/>
        <v>0</v>
      </c>
      <c r="M142" s="84">
        <v>4</v>
      </c>
      <c r="N142" s="84">
        <v>0</v>
      </c>
      <c r="O142" s="84">
        <v>0</v>
      </c>
      <c r="P142" s="84">
        <v>2</v>
      </c>
      <c r="Q142" s="84">
        <v>0</v>
      </c>
      <c r="R142" s="84">
        <v>10</v>
      </c>
    </row>
    <row r="143" spans="1:18" x14ac:dyDescent="0.25">
      <c r="A143" s="43">
        <v>42232</v>
      </c>
      <c r="B143" s="43"/>
      <c r="C143" s="123" t="s">
        <v>36</v>
      </c>
      <c r="D143" s="53">
        <v>5</v>
      </c>
      <c r="E143" s="53">
        <v>14</v>
      </c>
      <c r="F143" s="85">
        <f t="shared" si="33"/>
        <v>0.35714285714285715</v>
      </c>
      <c r="G143" s="53">
        <v>1</v>
      </c>
      <c r="H143" s="53">
        <v>2</v>
      </c>
      <c r="I143" s="85">
        <f t="shared" si="34"/>
        <v>0.5</v>
      </c>
      <c r="J143" s="53">
        <v>0</v>
      </c>
      <c r="K143" s="53">
        <v>0</v>
      </c>
      <c r="L143" s="85">
        <f t="shared" si="35"/>
        <v>0</v>
      </c>
      <c r="M143" s="53">
        <v>3</v>
      </c>
      <c r="N143" s="53">
        <v>2</v>
      </c>
      <c r="O143" s="53">
        <v>1</v>
      </c>
      <c r="P143" s="53">
        <v>2</v>
      </c>
      <c r="Q143" s="53">
        <v>0</v>
      </c>
      <c r="R143" s="54">
        <v>11</v>
      </c>
    </row>
    <row r="144" spans="1:18" x14ac:dyDescent="0.25">
      <c r="A144" s="43">
        <v>42232</v>
      </c>
      <c r="B144" s="43"/>
      <c r="C144" s="123" t="s">
        <v>150</v>
      </c>
      <c r="D144" s="53">
        <v>2</v>
      </c>
      <c r="E144" s="53">
        <v>5</v>
      </c>
      <c r="F144" s="85">
        <f t="shared" si="33"/>
        <v>0.4</v>
      </c>
      <c r="G144" s="53">
        <v>1</v>
      </c>
      <c r="H144" s="53">
        <v>3</v>
      </c>
      <c r="I144" s="85">
        <f t="shared" si="34"/>
        <v>0.33333333333333331</v>
      </c>
      <c r="J144" s="53">
        <v>3</v>
      </c>
      <c r="K144" s="53">
        <v>3</v>
      </c>
      <c r="L144" s="85">
        <f t="shared" si="35"/>
        <v>1</v>
      </c>
      <c r="M144" s="53">
        <v>2</v>
      </c>
      <c r="N144" s="53">
        <v>0</v>
      </c>
      <c r="O144" s="53">
        <v>2</v>
      </c>
      <c r="P144" s="53">
        <v>1</v>
      </c>
      <c r="Q144" s="53">
        <v>0</v>
      </c>
      <c r="R144" s="54">
        <v>8</v>
      </c>
    </row>
    <row r="145" spans="1:43" x14ac:dyDescent="0.25">
      <c r="A145" s="43">
        <v>42232</v>
      </c>
      <c r="B145" s="43"/>
      <c r="C145" s="123" t="s">
        <v>37</v>
      </c>
      <c r="D145" s="53">
        <v>10</v>
      </c>
      <c r="E145" s="53">
        <v>21</v>
      </c>
      <c r="F145" s="85">
        <f t="shared" si="33"/>
        <v>0.47619047619047616</v>
      </c>
      <c r="G145" s="53">
        <v>1</v>
      </c>
      <c r="H145" s="53">
        <v>3</v>
      </c>
      <c r="I145" s="85">
        <f t="shared" si="34"/>
        <v>0.33333333333333331</v>
      </c>
      <c r="J145" s="53">
        <v>0</v>
      </c>
      <c r="K145" s="53">
        <v>1</v>
      </c>
      <c r="L145" s="85">
        <f t="shared" si="35"/>
        <v>0</v>
      </c>
      <c r="M145" s="53">
        <v>8</v>
      </c>
      <c r="N145" s="53">
        <v>10</v>
      </c>
      <c r="O145" s="53">
        <v>2</v>
      </c>
      <c r="P145" s="53">
        <v>0</v>
      </c>
      <c r="Q145" s="53">
        <v>1</v>
      </c>
      <c r="R145" s="54">
        <v>21</v>
      </c>
    </row>
    <row r="146" spans="1:43" x14ac:dyDescent="0.25">
      <c r="A146" s="43">
        <v>42232</v>
      </c>
      <c r="B146" s="43"/>
      <c r="C146" s="123" t="s">
        <v>39</v>
      </c>
      <c r="D146" s="53">
        <v>5</v>
      </c>
      <c r="E146" s="53">
        <v>6</v>
      </c>
      <c r="F146" s="85">
        <f t="shared" si="33"/>
        <v>0.83333333333333337</v>
      </c>
      <c r="G146" s="53">
        <v>3</v>
      </c>
      <c r="H146" s="53">
        <v>3</v>
      </c>
      <c r="I146" s="85">
        <f t="shared" si="34"/>
        <v>1</v>
      </c>
      <c r="J146" s="53">
        <v>2</v>
      </c>
      <c r="K146" s="53">
        <v>2</v>
      </c>
      <c r="L146" s="85">
        <f t="shared" si="35"/>
        <v>1</v>
      </c>
      <c r="M146" s="53">
        <v>4</v>
      </c>
      <c r="N146" s="53">
        <v>2</v>
      </c>
      <c r="O146" s="53">
        <v>0</v>
      </c>
      <c r="P146" s="53">
        <v>3</v>
      </c>
      <c r="Q146" s="53">
        <v>0</v>
      </c>
      <c r="R146" s="54">
        <v>15</v>
      </c>
    </row>
    <row r="147" spans="1:43" x14ac:dyDescent="0.25">
      <c r="A147" s="43">
        <v>42232</v>
      </c>
      <c r="B147" s="47"/>
      <c r="C147" s="22" t="s">
        <v>122</v>
      </c>
      <c r="D147" s="84">
        <v>5</v>
      </c>
      <c r="E147" s="84">
        <v>9</v>
      </c>
      <c r="F147" s="85">
        <f t="shared" si="33"/>
        <v>0.55555555555555558</v>
      </c>
      <c r="G147" s="84">
        <v>0</v>
      </c>
      <c r="H147" s="84">
        <v>0</v>
      </c>
      <c r="I147" s="85">
        <f t="shared" si="34"/>
        <v>0</v>
      </c>
      <c r="J147" s="84">
        <v>2</v>
      </c>
      <c r="K147" s="84">
        <v>2</v>
      </c>
      <c r="L147" s="85">
        <f t="shared" si="35"/>
        <v>1</v>
      </c>
      <c r="M147" s="84">
        <v>6</v>
      </c>
      <c r="N147" s="84">
        <v>2</v>
      </c>
      <c r="O147" s="84">
        <v>0</v>
      </c>
      <c r="P147" s="84">
        <v>0</v>
      </c>
      <c r="Q147" s="84">
        <v>3</v>
      </c>
      <c r="R147" s="84">
        <v>12</v>
      </c>
    </row>
    <row r="148" spans="1:43" s="10" customFormat="1" x14ac:dyDescent="0.25">
      <c r="A148" s="71">
        <v>42234</v>
      </c>
      <c r="B148" s="20"/>
      <c r="C148" s="15" t="s">
        <v>35</v>
      </c>
      <c r="D148" s="16">
        <v>3</v>
      </c>
      <c r="E148" s="16">
        <v>8</v>
      </c>
      <c r="F148" s="96">
        <f t="shared" ref="F148:F162" si="36">IF(E148=0,0,D148/E148)</f>
        <v>0.375</v>
      </c>
      <c r="G148" s="16">
        <v>2</v>
      </c>
      <c r="H148" s="16">
        <v>4</v>
      </c>
      <c r="I148" s="96">
        <f t="shared" ref="I148:I162" si="37">IF(H148=0,0,G148/H148)</f>
        <v>0.5</v>
      </c>
      <c r="J148" s="16">
        <v>7</v>
      </c>
      <c r="K148" s="16">
        <v>8</v>
      </c>
      <c r="L148" s="96">
        <f t="shared" ref="L148:L162" si="38">IF(K148=0,0,J148/K148)</f>
        <v>0.875</v>
      </c>
      <c r="M148" s="16">
        <v>6</v>
      </c>
      <c r="N148" s="16">
        <v>0</v>
      </c>
      <c r="O148" s="16">
        <v>3</v>
      </c>
      <c r="P148" s="16">
        <v>2</v>
      </c>
      <c r="Q148" s="16">
        <v>1</v>
      </c>
      <c r="R148" s="16">
        <v>15</v>
      </c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</row>
    <row r="149" spans="1:43" s="10" customFormat="1" x14ac:dyDescent="0.25">
      <c r="A149" s="71">
        <v>42234</v>
      </c>
      <c r="B149" s="20"/>
      <c r="C149" s="15" t="s">
        <v>37</v>
      </c>
      <c r="D149" s="16">
        <v>8</v>
      </c>
      <c r="E149" s="16">
        <v>14</v>
      </c>
      <c r="F149" s="96">
        <f t="shared" si="36"/>
        <v>0.5714285714285714</v>
      </c>
      <c r="G149" s="16">
        <v>0</v>
      </c>
      <c r="H149" s="16">
        <v>4</v>
      </c>
      <c r="I149" s="96">
        <f t="shared" si="37"/>
        <v>0</v>
      </c>
      <c r="J149" s="16">
        <v>9</v>
      </c>
      <c r="K149" s="16">
        <v>12</v>
      </c>
      <c r="L149" s="96">
        <f t="shared" si="38"/>
        <v>0.75</v>
      </c>
      <c r="M149" s="16">
        <v>10</v>
      </c>
      <c r="N149" s="16">
        <v>6</v>
      </c>
      <c r="O149" s="16">
        <v>8</v>
      </c>
      <c r="P149" s="16">
        <v>7</v>
      </c>
      <c r="Q149" s="16">
        <v>3</v>
      </c>
      <c r="R149" s="16">
        <v>25</v>
      </c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</row>
    <row r="150" spans="1:43" s="10" customFormat="1" x14ac:dyDescent="0.25">
      <c r="A150" s="71">
        <v>42234</v>
      </c>
      <c r="B150" s="20"/>
      <c r="C150" s="15" t="s">
        <v>150</v>
      </c>
      <c r="D150" s="16">
        <v>4</v>
      </c>
      <c r="E150" s="16">
        <v>10</v>
      </c>
      <c r="F150" s="96">
        <f t="shared" si="36"/>
        <v>0.4</v>
      </c>
      <c r="G150" s="16">
        <v>0</v>
      </c>
      <c r="H150" s="16">
        <v>3</v>
      </c>
      <c r="I150" s="96">
        <f t="shared" si="37"/>
        <v>0</v>
      </c>
      <c r="J150" s="16">
        <v>4</v>
      </c>
      <c r="K150" s="16">
        <v>4</v>
      </c>
      <c r="L150" s="96">
        <f t="shared" si="38"/>
        <v>1</v>
      </c>
      <c r="M150" s="16">
        <v>5</v>
      </c>
      <c r="N150" s="16">
        <v>1</v>
      </c>
      <c r="O150" s="16">
        <v>0</v>
      </c>
      <c r="P150" s="16">
        <v>6</v>
      </c>
      <c r="Q150" s="16">
        <v>0</v>
      </c>
      <c r="R150" s="16">
        <v>12</v>
      </c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</row>
    <row r="151" spans="1:43" s="10" customFormat="1" x14ac:dyDescent="0.25">
      <c r="A151" s="72">
        <v>42234</v>
      </c>
      <c r="B151" s="43"/>
      <c r="C151" s="22" t="s">
        <v>122</v>
      </c>
      <c r="D151" s="23">
        <v>3</v>
      </c>
      <c r="E151" s="23">
        <v>7</v>
      </c>
      <c r="F151" s="85">
        <f t="shared" si="36"/>
        <v>0.42857142857142855</v>
      </c>
      <c r="G151" s="23">
        <v>0</v>
      </c>
      <c r="H151" s="23">
        <v>0</v>
      </c>
      <c r="I151" s="85">
        <f t="shared" si="37"/>
        <v>0</v>
      </c>
      <c r="J151" s="23">
        <v>3</v>
      </c>
      <c r="K151" s="23">
        <v>3</v>
      </c>
      <c r="L151" s="85">
        <f t="shared" si="38"/>
        <v>1</v>
      </c>
      <c r="M151" s="23">
        <v>7</v>
      </c>
      <c r="N151" s="23">
        <v>0</v>
      </c>
      <c r="O151" s="23">
        <v>0</v>
      </c>
      <c r="P151" s="23">
        <v>7</v>
      </c>
      <c r="Q151" s="23">
        <v>6</v>
      </c>
      <c r="R151" s="25">
        <v>9</v>
      </c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</row>
    <row r="152" spans="1:43" s="10" customFormat="1" x14ac:dyDescent="0.25">
      <c r="A152" s="72">
        <v>42235</v>
      </c>
      <c r="B152" s="43"/>
      <c r="C152" s="22" t="s">
        <v>38</v>
      </c>
      <c r="D152" s="23">
        <v>4</v>
      </c>
      <c r="E152" s="23">
        <v>8</v>
      </c>
      <c r="F152" s="85">
        <f t="shared" si="36"/>
        <v>0.5</v>
      </c>
      <c r="G152" s="23">
        <v>0</v>
      </c>
      <c r="H152" s="23">
        <v>0</v>
      </c>
      <c r="I152" s="85">
        <f t="shared" si="37"/>
        <v>0</v>
      </c>
      <c r="J152" s="23">
        <v>4</v>
      </c>
      <c r="K152" s="23">
        <v>5</v>
      </c>
      <c r="L152" s="85">
        <f t="shared" si="38"/>
        <v>0.8</v>
      </c>
      <c r="M152" s="23">
        <v>11</v>
      </c>
      <c r="N152" s="23">
        <v>4</v>
      </c>
      <c r="O152" s="23">
        <v>1</v>
      </c>
      <c r="P152" s="23">
        <v>1</v>
      </c>
      <c r="Q152" s="23">
        <v>1</v>
      </c>
      <c r="R152" s="25">
        <v>12</v>
      </c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</row>
    <row r="153" spans="1:43" s="10" customFormat="1" x14ac:dyDescent="0.25">
      <c r="A153" s="72">
        <v>42237</v>
      </c>
      <c r="B153" s="43"/>
      <c r="C153" s="22" t="s">
        <v>38</v>
      </c>
      <c r="D153" s="23">
        <v>4</v>
      </c>
      <c r="E153" s="23">
        <v>9</v>
      </c>
      <c r="F153" s="85">
        <f t="shared" si="36"/>
        <v>0.44444444444444442</v>
      </c>
      <c r="G153" s="23">
        <v>0</v>
      </c>
      <c r="H153" s="23">
        <v>0</v>
      </c>
      <c r="I153" s="85">
        <f t="shared" si="37"/>
        <v>0</v>
      </c>
      <c r="J153" s="23">
        <v>1</v>
      </c>
      <c r="K153" s="23">
        <v>2</v>
      </c>
      <c r="L153" s="85">
        <f t="shared" si="38"/>
        <v>0.5</v>
      </c>
      <c r="M153" s="23">
        <v>11</v>
      </c>
      <c r="N153" s="23">
        <v>3</v>
      </c>
      <c r="O153" s="23">
        <v>2</v>
      </c>
      <c r="P153" s="23">
        <v>0</v>
      </c>
      <c r="Q153" s="23">
        <v>2</v>
      </c>
      <c r="R153" s="25">
        <v>9</v>
      </c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</row>
    <row r="154" spans="1:43" s="10" customFormat="1" x14ac:dyDescent="0.25">
      <c r="A154" s="72">
        <v>42237</v>
      </c>
      <c r="B154" s="43"/>
      <c r="C154" s="22" t="s">
        <v>36</v>
      </c>
      <c r="D154" s="23">
        <v>4</v>
      </c>
      <c r="E154" s="23">
        <v>10</v>
      </c>
      <c r="F154" s="85">
        <f t="shared" si="36"/>
        <v>0.4</v>
      </c>
      <c r="G154" s="23">
        <v>0</v>
      </c>
      <c r="H154" s="23">
        <v>1</v>
      </c>
      <c r="I154" s="85">
        <f t="shared" si="37"/>
        <v>0</v>
      </c>
      <c r="J154" s="23">
        <v>3</v>
      </c>
      <c r="K154" s="23">
        <v>3</v>
      </c>
      <c r="L154" s="85">
        <f t="shared" si="38"/>
        <v>1</v>
      </c>
      <c r="M154" s="23">
        <v>1</v>
      </c>
      <c r="N154" s="23">
        <v>3</v>
      </c>
      <c r="O154" s="23">
        <v>1</v>
      </c>
      <c r="P154" s="23">
        <v>2</v>
      </c>
      <c r="Q154" s="23">
        <v>0</v>
      </c>
      <c r="R154" s="25">
        <v>11</v>
      </c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</row>
    <row r="155" spans="1:43" s="10" customFormat="1" x14ac:dyDescent="0.25">
      <c r="A155" s="72">
        <v>42237</v>
      </c>
      <c r="B155" s="43"/>
      <c r="C155" s="22" t="s">
        <v>37</v>
      </c>
      <c r="D155" s="23">
        <v>12</v>
      </c>
      <c r="E155" s="23">
        <v>23</v>
      </c>
      <c r="F155" s="85">
        <f t="shared" si="36"/>
        <v>0.52173913043478259</v>
      </c>
      <c r="G155" s="23">
        <v>0</v>
      </c>
      <c r="H155" s="23">
        <v>4</v>
      </c>
      <c r="I155" s="85">
        <f t="shared" si="37"/>
        <v>0</v>
      </c>
      <c r="J155" s="23">
        <v>2</v>
      </c>
      <c r="K155" s="23">
        <v>3</v>
      </c>
      <c r="L155" s="85">
        <f t="shared" si="38"/>
        <v>0.66666666666666663</v>
      </c>
      <c r="M155" s="23">
        <v>10</v>
      </c>
      <c r="N155" s="23">
        <v>3</v>
      </c>
      <c r="O155" s="23">
        <v>2</v>
      </c>
      <c r="P155" s="23">
        <v>3</v>
      </c>
      <c r="Q155" s="23">
        <v>1</v>
      </c>
      <c r="R155" s="25">
        <v>26</v>
      </c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</row>
    <row r="156" spans="1:43" s="10" customFormat="1" x14ac:dyDescent="0.25">
      <c r="A156" s="72">
        <v>42237</v>
      </c>
      <c r="B156" s="43"/>
      <c r="C156" s="22" t="s">
        <v>150</v>
      </c>
      <c r="D156" s="23">
        <v>5</v>
      </c>
      <c r="E156" s="23">
        <v>13</v>
      </c>
      <c r="F156" s="85">
        <f t="shared" si="36"/>
        <v>0.38461538461538464</v>
      </c>
      <c r="G156" s="23">
        <v>2</v>
      </c>
      <c r="H156" s="23">
        <v>4</v>
      </c>
      <c r="I156" s="85">
        <f t="shared" si="37"/>
        <v>0.5</v>
      </c>
      <c r="J156" s="23">
        <v>0</v>
      </c>
      <c r="K156" s="23">
        <v>0</v>
      </c>
      <c r="L156" s="85">
        <f t="shared" si="38"/>
        <v>0</v>
      </c>
      <c r="M156" s="23">
        <v>1</v>
      </c>
      <c r="N156" s="23">
        <v>1</v>
      </c>
      <c r="O156" s="23">
        <v>2</v>
      </c>
      <c r="P156" s="23">
        <v>1</v>
      </c>
      <c r="Q156" s="23">
        <v>0</v>
      </c>
      <c r="R156" s="25">
        <v>12</v>
      </c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</row>
    <row r="157" spans="1:43" s="10" customFormat="1" x14ac:dyDescent="0.25">
      <c r="A157" s="71">
        <v>42237</v>
      </c>
      <c r="B157" s="20"/>
      <c r="C157" s="15" t="s">
        <v>122</v>
      </c>
      <c r="D157" s="16">
        <v>7</v>
      </c>
      <c r="E157" s="16">
        <v>11</v>
      </c>
      <c r="F157" s="96">
        <f t="shared" si="36"/>
        <v>0.63636363636363635</v>
      </c>
      <c r="G157" s="16">
        <v>0</v>
      </c>
      <c r="H157" s="16">
        <v>0</v>
      </c>
      <c r="I157" s="96">
        <f t="shared" si="37"/>
        <v>0</v>
      </c>
      <c r="J157" s="16">
        <v>6</v>
      </c>
      <c r="K157" s="16">
        <v>8</v>
      </c>
      <c r="L157" s="96">
        <f t="shared" si="38"/>
        <v>0.75</v>
      </c>
      <c r="M157" s="16">
        <v>6</v>
      </c>
      <c r="N157" s="16">
        <v>1</v>
      </c>
      <c r="O157" s="16">
        <v>0</v>
      </c>
      <c r="P157" s="16">
        <v>1</v>
      </c>
      <c r="Q157" s="16">
        <v>1</v>
      </c>
      <c r="R157" s="16">
        <v>20</v>
      </c>
    </row>
    <row r="158" spans="1:43" x14ac:dyDescent="0.25">
      <c r="A158" s="21">
        <v>42239</v>
      </c>
      <c r="B158" s="20"/>
      <c r="C158" s="15" t="s">
        <v>36</v>
      </c>
      <c r="D158" s="16">
        <v>3</v>
      </c>
      <c r="E158" s="16">
        <v>6</v>
      </c>
      <c r="F158" s="96">
        <f t="shared" si="36"/>
        <v>0.5</v>
      </c>
      <c r="G158" s="16">
        <v>0</v>
      </c>
      <c r="H158" s="16">
        <v>0</v>
      </c>
      <c r="I158" s="96">
        <f t="shared" si="37"/>
        <v>0</v>
      </c>
      <c r="J158" s="16">
        <v>3</v>
      </c>
      <c r="K158" s="16">
        <v>4</v>
      </c>
      <c r="L158" s="96">
        <f t="shared" si="38"/>
        <v>0.75</v>
      </c>
      <c r="M158" s="16">
        <v>5</v>
      </c>
      <c r="N158" s="16">
        <v>1</v>
      </c>
      <c r="O158" s="16">
        <v>1</v>
      </c>
      <c r="P158" s="16">
        <v>0</v>
      </c>
      <c r="Q158" s="16">
        <v>1</v>
      </c>
      <c r="R158" s="16">
        <v>9</v>
      </c>
    </row>
    <row r="159" spans="1:43" x14ac:dyDescent="0.25">
      <c r="A159" s="21">
        <v>42239</v>
      </c>
      <c r="B159" s="20"/>
      <c r="C159" s="15" t="s">
        <v>150</v>
      </c>
      <c r="D159" s="16">
        <v>7</v>
      </c>
      <c r="E159" s="16">
        <v>10</v>
      </c>
      <c r="F159" s="96">
        <f t="shared" si="36"/>
        <v>0.7</v>
      </c>
      <c r="G159" s="16">
        <v>1</v>
      </c>
      <c r="H159" s="16">
        <v>1</v>
      </c>
      <c r="I159" s="96">
        <f t="shared" si="37"/>
        <v>1</v>
      </c>
      <c r="J159" s="16">
        <v>3</v>
      </c>
      <c r="K159" s="16">
        <v>5</v>
      </c>
      <c r="L159" s="96">
        <f t="shared" si="38"/>
        <v>0.6</v>
      </c>
      <c r="M159" s="16">
        <v>1</v>
      </c>
      <c r="N159" s="16">
        <v>0</v>
      </c>
      <c r="O159" s="16">
        <v>0</v>
      </c>
      <c r="P159" s="16">
        <v>2</v>
      </c>
      <c r="Q159" s="16">
        <v>0</v>
      </c>
      <c r="R159" s="16">
        <v>18</v>
      </c>
    </row>
    <row r="160" spans="1:43" x14ac:dyDescent="0.25">
      <c r="A160" s="21">
        <v>42239</v>
      </c>
      <c r="B160" s="20"/>
      <c r="C160" s="15" t="s">
        <v>38</v>
      </c>
      <c r="D160" s="16">
        <v>0</v>
      </c>
      <c r="E160" s="16">
        <v>3</v>
      </c>
      <c r="F160" s="96">
        <f t="shared" si="36"/>
        <v>0</v>
      </c>
      <c r="G160" s="16">
        <v>0</v>
      </c>
      <c r="H160" s="16">
        <v>0</v>
      </c>
      <c r="I160" s="96">
        <f t="shared" si="37"/>
        <v>0</v>
      </c>
      <c r="J160" s="16">
        <v>0</v>
      </c>
      <c r="K160" s="16">
        <v>0</v>
      </c>
      <c r="L160" s="96">
        <f t="shared" si="38"/>
        <v>0</v>
      </c>
      <c r="M160" s="16">
        <v>2</v>
      </c>
      <c r="N160" s="16">
        <v>5</v>
      </c>
      <c r="O160" s="16">
        <v>1</v>
      </c>
      <c r="P160" s="16">
        <v>2</v>
      </c>
      <c r="Q160" s="16">
        <v>0</v>
      </c>
      <c r="R160" s="16">
        <v>0</v>
      </c>
    </row>
    <row r="161" spans="1:18" x14ac:dyDescent="0.25">
      <c r="A161" s="21">
        <v>42239</v>
      </c>
      <c r="B161" s="20"/>
      <c r="C161" s="15" t="s">
        <v>37</v>
      </c>
      <c r="D161" s="16">
        <v>8</v>
      </c>
      <c r="E161" s="16">
        <v>18</v>
      </c>
      <c r="F161" s="96">
        <f t="shared" si="36"/>
        <v>0.44444444444444442</v>
      </c>
      <c r="G161" s="16">
        <v>1</v>
      </c>
      <c r="H161" s="16">
        <v>2</v>
      </c>
      <c r="I161" s="96">
        <f t="shared" si="37"/>
        <v>0.5</v>
      </c>
      <c r="J161" s="16">
        <v>3</v>
      </c>
      <c r="K161" s="16">
        <v>3</v>
      </c>
      <c r="L161" s="96">
        <f t="shared" si="38"/>
        <v>1</v>
      </c>
      <c r="M161" s="16">
        <v>12</v>
      </c>
      <c r="N161" s="16">
        <v>9</v>
      </c>
      <c r="O161" s="16">
        <v>0</v>
      </c>
      <c r="P161" s="16">
        <v>1</v>
      </c>
      <c r="Q161" s="16">
        <v>1</v>
      </c>
      <c r="R161" s="16">
        <v>20</v>
      </c>
    </row>
    <row r="162" spans="1:18" x14ac:dyDescent="0.25">
      <c r="A162" s="21">
        <v>42239</v>
      </c>
      <c r="B162" s="20"/>
      <c r="C162" s="15" t="s">
        <v>122</v>
      </c>
      <c r="D162" s="16">
        <v>4</v>
      </c>
      <c r="E162" s="16">
        <v>8</v>
      </c>
      <c r="F162" s="96">
        <f t="shared" si="36"/>
        <v>0.5</v>
      </c>
      <c r="G162" s="16">
        <v>0</v>
      </c>
      <c r="H162" s="16">
        <v>0</v>
      </c>
      <c r="I162" s="96">
        <f t="shared" si="37"/>
        <v>0</v>
      </c>
      <c r="J162" s="16">
        <v>2</v>
      </c>
      <c r="K162" s="16">
        <v>2</v>
      </c>
      <c r="L162" s="96">
        <f t="shared" si="38"/>
        <v>1</v>
      </c>
      <c r="M162" s="16">
        <v>11</v>
      </c>
      <c r="N162" s="16">
        <v>0</v>
      </c>
      <c r="O162" s="16">
        <v>1</v>
      </c>
      <c r="P162" s="16">
        <v>1</v>
      </c>
      <c r="Q162" s="16">
        <v>6</v>
      </c>
      <c r="R162" s="16">
        <v>10</v>
      </c>
    </row>
    <row r="163" spans="1:18" x14ac:dyDescent="0.25">
      <c r="A163" s="71">
        <v>42242</v>
      </c>
      <c r="B163" s="20"/>
      <c r="C163" s="15" t="s">
        <v>37</v>
      </c>
      <c r="D163" s="16">
        <v>4</v>
      </c>
      <c r="E163" s="16">
        <v>10</v>
      </c>
      <c r="F163" s="98">
        <f t="shared" ref="F163:F175" si="39">IF(E163=0,0,D163/E163)</f>
        <v>0.4</v>
      </c>
      <c r="G163" s="16">
        <v>1</v>
      </c>
      <c r="H163" s="16">
        <v>3</v>
      </c>
      <c r="I163" s="98">
        <f t="shared" ref="I163:I175" si="40">IF(H163=0,0,G163/H163)</f>
        <v>0.33333333333333331</v>
      </c>
      <c r="J163" s="16">
        <v>6</v>
      </c>
      <c r="K163" s="16">
        <v>10</v>
      </c>
      <c r="L163" s="98">
        <f t="shared" ref="L163:L175" si="41">IF(K163=0,0,J163/K163)</f>
        <v>0.6</v>
      </c>
      <c r="M163" s="16">
        <v>10</v>
      </c>
      <c r="N163" s="16">
        <v>9</v>
      </c>
      <c r="O163" s="16">
        <v>3</v>
      </c>
      <c r="P163" s="16">
        <v>3</v>
      </c>
      <c r="Q163" s="16">
        <v>0</v>
      </c>
      <c r="R163" s="16">
        <v>15</v>
      </c>
    </row>
    <row r="164" spans="1:18" x14ac:dyDescent="0.25">
      <c r="A164" s="71">
        <v>42242</v>
      </c>
      <c r="B164" s="20"/>
      <c r="C164" s="15" t="s">
        <v>150</v>
      </c>
      <c r="D164" s="16">
        <v>8</v>
      </c>
      <c r="E164" s="16">
        <v>15</v>
      </c>
      <c r="F164" s="98">
        <f t="shared" si="39"/>
        <v>0.53333333333333333</v>
      </c>
      <c r="G164" s="16">
        <v>2</v>
      </c>
      <c r="H164" s="16">
        <v>5</v>
      </c>
      <c r="I164" s="98">
        <f t="shared" si="40"/>
        <v>0.4</v>
      </c>
      <c r="J164" s="16">
        <v>0</v>
      </c>
      <c r="K164" s="16">
        <v>0</v>
      </c>
      <c r="L164" s="98">
        <f t="shared" si="41"/>
        <v>0</v>
      </c>
      <c r="M164" s="16">
        <v>1</v>
      </c>
      <c r="N164" s="16">
        <v>0</v>
      </c>
      <c r="O164" s="16">
        <v>2</v>
      </c>
      <c r="P164" s="16">
        <v>0</v>
      </c>
      <c r="Q164" s="16">
        <v>1</v>
      </c>
      <c r="R164" s="16">
        <v>18</v>
      </c>
    </row>
    <row r="165" spans="1:18" x14ac:dyDescent="0.25">
      <c r="A165" s="71">
        <v>42243</v>
      </c>
      <c r="B165" s="20"/>
      <c r="C165" s="15" t="s">
        <v>122</v>
      </c>
      <c r="D165" s="16">
        <v>5</v>
      </c>
      <c r="E165" s="16">
        <v>8</v>
      </c>
      <c r="F165" s="98">
        <f t="shared" si="39"/>
        <v>0.625</v>
      </c>
      <c r="G165" s="16">
        <v>0</v>
      </c>
      <c r="H165" s="16">
        <v>0</v>
      </c>
      <c r="I165" s="98">
        <f t="shared" si="40"/>
        <v>0</v>
      </c>
      <c r="J165" s="16">
        <v>4</v>
      </c>
      <c r="K165" s="16">
        <v>4</v>
      </c>
      <c r="L165" s="98">
        <f t="shared" si="41"/>
        <v>1</v>
      </c>
      <c r="M165" s="16">
        <v>13</v>
      </c>
      <c r="N165" s="16">
        <v>1</v>
      </c>
      <c r="O165" s="16">
        <v>1</v>
      </c>
      <c r="P165" s="16">
        <v>3</v>
      </c>
      <c r="Q165" s="16">
        <v>3</v>
      </c>
      <c r="R165" s="16">
        <v>14</v>
      </c>
    </row>
    <row r="166" spans="1:18" x14ac:dyDescent="0.25">
      <c r="A166" s="71">
        <v>42244</v>
      </c>
      <c r="B166" s="20"/>
      <c r="C166" s="15" t="s">
        <v>122</v>
      </c>
      <c r="D166" s="16">
        <v>6</v>
      </c>
      <c r="E166" s="16">
        <v>12</v>
      </c>
      <c r="F166" s="98">
        <f t="shared" si="39"/>
        <v>0.5</v>
      </c>
      <c r="G166" s="16">
        <v>0</v>
      </c>
      <c r="H166" s="16">
        <v>0</v>
      </c>
      <c r="I166" s="98">
        <f t="shared" si="40"/>
        <v>0</v>
      </c>
      <c r="J166" s="16">
        <v>0</v>
      </c>
      <c r="K166" s="16">
        <v>0</v>
      </c>
      <c r="L166" s="98">
        <f t="shared" si="41"/>
        <v>0</v>
      </c>
      <c r="M166" s="16">
        <v>9</v>
      </c>
      <c r="N166" s="16">
        <v>1</v>
      </c>
      <c r="O166" s="16">
        <v>0</v>
      </c>
      <c r="P166" s="16">
        <v>4</v>
      </c>
      <c r="Q166" s="16">
        <v>1</v>
      </c>
      <c r="R166" s="16">
        <v>12</v>
      </c>
    </row>
    <row r="167" spans="1:18" x14ac:dyDescent="0.25">
      <c r="A167" s="71">
        <v>42244</v>
      </c>
      <c r="B167" s="20"/>
      <c r="C167" s="15" t="s">
        <v>150</v>
      </c>
      <c r="D167" s="16">
        <v>5</v>
      </c>
      <c r="E167" s="16">
        <v>9</v>
      </c>
      <c r="F167" s="98">
        <f t="shared" si="39"/>
        <v>0.55555555555555558</v>
      </c>
      <c r="G167" s="16">
        <v>0</v>
      </c>
      <c r="H167" s="16">
        <v>3</v>
      </c>
      <c r="I167" s="98">
        <f t="shared" si="40"/>
        <v>0</v>
      </c>
      <c r="J167" s="16">
        <v>1</v>
      </c>
      <c r="K167" s="16">
        <v>1</v>
      </c>
      <c r="L167" s="98">
        <f t="shared" si="41"/>
        <v>1</v>
      </c>
      <c r="M167" s="16">
        <v>3</v>
      </c>
      <c r="N167" s="16">
        <v>1</v>
      </c>
      <c r="O167" s="16">
        <v>1</v>
      </c>
      <c r="P167" s="16">
        <v>1</v>
      </c>
      <c r="Q167" s="16">
        <v>0</v>
      </c>
      <c r="R167" s="16">
        <v>11</v>
      </c>
    </row>
    <row r="168" spans="1:18" x14ac:dyDescent="0.25">
      <c r="A168" s="71">
        <v>42244</v>
      </c>
      <c r="B168" s="20"/>
      <c r="C168" s="15" t="s">
        <v>37</v>
      </c>
      <c r="D168" s="16">
        <v>9</v>
      </c>
      <c r="E168" s="16">
        <v>17</v>
      </c>
      <c r="F168" s="98">
        <f t="shared" si="39"/>
        <v>0.52941176470588236</v>
      </c>
      <c r="G168" s="16">
        <v>0</v>
      </c>
      <c r="H168" s="16">
        <v>1</v>
      </c>
      <c r="I168" s="98">
        <f t="shared" si="40"/>
        <v>0</v>
      </c>
      <c r="J168" s="16">
        <v>6</v>
      </c>
      <c r="K168" s="16">
        <v>7</v>
      </c>
      <c r="L168" s="98">
        <f t="shared" si="41"/>
        <v>0.8571428571428571</v>
      </c>
      <c r="M168" s="16">
        <v>11</v>
      </c>
      <c r="N168" s="16">
        <v>4</v>
      </c>
      <c r="O168" s="16">
        <v>4</v>
      </c>
      <c r="P168" s="16">
        <v>3</v>
      </c>
      <c r="Q168" s="16">
        <v>3</v>
      </c>
      <c r="R168" s="16">
        <v>24</v>
      </c>
    </row>
    <row r="169" spans="1:18" x14ac:dyDescent="0.25">
      <c r="A169" s="21">
        <v>42245</v>
      </c>
      <c r="B169" s="20"/>
      <c r="C169" s="20" t="s">
        <v>36</v>
      </c>
      <c r="D169" s="99">
        <v>9</v>
      </c>
      <c r="E169" s="99">
        <v>17</v>
      </c>
      <c r="F169" s="98">
        <f t="shared" si="39"/>
        <v>0.52941176470588236</v>
      </c>
      <c r="G169" s="99">
        <v>1</v>
      </c>
      <c r="H169" s="99">
        <v>1</v>
      </c>
      <c r="I169" s="98">
        <f t="shared" si="40"/>
        <v>1</v>
      </c>
      <c r="J169" s="99">
        <v>3</v>
      </c>
      <c r="K169" s="99">
        <v>6</v>
      </c>
      <c r="L169" s="98">
        <f t="shared" si="41"/>
        <v>0.5</v>
      </c>
      <c r="M169" s="99">
        <v>2</v>
      </c>
      <c r="N169" s="99">
        <v>4</v>
      </c>
      <c r="O169" s="99">
        <v>0</v>
      </c>
      <c r="P169" s="99">
        <v>3</v>
      </c>
      <c r="Q169" s="99">
        <v>0</v>
      </c>
      <c r="R169" s="99">
        <v>22</v>
      </c>
    </row>
    <row r="170" spans="1:18" x14ac:dyDescent="0.25">
      <c r="A170" s="21">
        <v>42245</v>
      </c>
      <c r="B170" s="20"/>
      <c r="C170" s="20" t="s">
        <v>39</v>
      </c>
      <c r="D170" s="99">
        <v>1</v>
      </c>
      <c r="E170" s="99">
        <v>6</v>
      </c>
      <c r="F170" s="98">
        <f t="shared" si="39"/>
        <v>0.16666666666666666</v>
      </c>
      <c r="G170" s="99">
        <v>0</v>
      </c>
      <c r="H170" s="99">
        <v>4</v>
      </c>
      <c r="I170" s="98">
        <f t="shared" si="40"/>
        <v>0</v>
      </c>
      <c r="J170" s="99">
        <v>4</v>
      </c>
      <c r="K170" s="99">
        <v>4</v>
      </c>
      <c r="L170" s="98">
        <f t="shared" si="41"/>
        <v>1</v>
      </c>
      <c r="M170" s="99">
        <v>3</v>
      </c>
      <c r="N170" s="99">
        <v>2</v>
      </c>
      <c r="O170" s="99">
        <v>1</v>
      </c>
      <c r="P170" s="99">
        <v>1</v>
      </c>
      <c r="Q170" s="99">
        <v>0</v>
      </c>
      <c r="R170" s="99">
        <v>6</v>
      </c>
    </row>
    <row r="171" spans="1:18" x14ac:dyDescent="0.25">
      <c r="A171" s="71">
        <v>42246</v>
      </c>
      <c r="B171" s="20"/>
      <c r="C171" s="15" t="s">
        <v>35</v>
      </c>
      <c r="D171" s="16">
        <v>6</v>
      </c>
      <c r="E171" s="16">
        <v>14</v>
      </c>
      <c r="F171" s="98">
        <f t="shared" si="39"/>
        <v>0.42857142857142855</v>
      </c>
      <c r="G171" s="16">
        <v>2</v>
      </c>
      <c r="H171" s="16">
        <v>3</v>
      </c>
      <c r="I171" s="98">
        <f t="shared" si="40"/>
        <v>0.66666666666666663</v>
      </c>
      <c r="J171" s="16">
        <v>4</v>
      </c>
      <c r="K171" s="16">
        <v>5</v>
      </c>
      <c r="L171" s="98">
        <f t="shared" si="41"/>
        <v>0.8</v>
      </c>
      <c r="M171" s="16">
        <v>4</v>
      </c>
      <c r="N171" s="16">
        <v>0</v>
      </c>
      <c r="O171" s="16">
        <v>1</v>
      </c>
      <c r="P171" s="16">
        <v>0</v>
      </c>
      <c r="Q171" s="16">
        <v>1</v>
      </c>
      <c r="R171" s="16">
        <v>18</v>
      </c>
    </row>
    <row r="172" spans="1:18" x14ac:dyDescent="0.25">
      <c r="A172" s="71">
        <v>42246</v>
      </c>
      <c r="B172" s="20"/>
      <c r="C172" s="15" t="s">
        <v>38</v>
      </c>
      <c r="D172" s="16">
        <v>1</v>
      </c>
      <c r="E172" s="16">
        <v>4</v>
      </c>
      <c r="F172" s="98">
        <f t="shared" si="39"/>
        <v>0.25</v>
      </c>
      <c r="G172" s="16">
        <v>0</v>
      </c>
      <c r="H172" s="16">
        <v>0</v>
      </c>
      <c r="I172" s="98">
        <f t="shared" si="40"/>
        <v>0</v>
      </c>
      <c r="J172" s="16">
        <v>0</v>
      </c>
      <c r="K172" s="16">
        <v>0</v>
      </c>
      <c r="L172" s="98">
        <f t="shared" si="41"/>
        <v>0</v>
      </c>
      <c r="M172" s="16">
        <v>8</v>
      </c>
      <c r="N172" s="16">
        <v>0</v>
      </c>
      <c r="O172" s="16">
        <v>0</v>
      </c>
      <c r="P172" s="16">
        <v>1</v>
      </c>
      <c r="Q172" s="16">
        <v>0</v>
      </c>
      <c r="R172" s="16">
        <v>2</v>
      </c>
    </row>
    <row r="173" spans="1:18" x14ac:dyDescent="0.25">
      <c r="A173" s="71">
        <v>42246</v>
      </c>
      <c r="B173" s="20"/>
      <c r="C173" s="15" t="s">
        <v>150</v>
      </c>
      <c r="D173" s="16">
        <v>1</v>
      </c>
      <c r="E173" s="16">
        <v>9</v>
      </c>
      <c r="F173" s="98">
        <f t="shared" si="39"/>
        <v>0.1111111111111111</v>
      </c>
      <c r="G173" s="16">
        <v>0</v>
      </c>
      <c r="H173" s="16">
        <v>5</v>
      </c>
      <c r="I173" s="98">
        <f t="shared" si="40"/>
        <v>0</v>
      </c>
      <c r="J173" s="16">
        <v>1</v>
      </c>
      <c r="K173" s="16">
        <v>2</v>
      </c>
      <c r="L173" s="98">
        <f t="shared" si="41"/>
        <v>0.5</v>
      </c>
      <c r="M173" s="16">
        <v>1</v>
      </c>
      <c r="N173" s="16">
        <v>6</v>
      </c>
      <c r="O173" s="16">
        <v>1</v>
      </c>
      <c r="P173" s="16">
        <v>1</v>
      </c>
      <c r="Q173" s="16">
        <v>0</v>
      </c>
      <c r="R173" s="16">
        <v>3</v>
      </c>
    </row>
    <row r="174" spans="1:18" x14ac:dyDescent="0.25">
      <c r="A174" s="71">
        <v>42246</v>
      </c>
      <c r="B174" s="20"/>
      <c r="C174" s="15" t="s">
        <v>37</v>
      </c>
      <c r="D174" s="16">
        <v>4</v>
      </c>
      <c r="E174" s="16">
        <v>10</v>
      </c>
      <c r="F174" s="98">
        <f t="shared" si="39"/>
        <v>0.4</v>
      </c>
      <c r="G174" s="16">
        <v>2</v>
      </c>
      <c r="H174" s="16">
        <v>3</v>
      </c>
      <c r="I174" s="98">
        <f t="shared" si="40"/>
        <v>0.66666666666666663</v>
      </c>
      <c r="J174" s="16">
        <v>0</v>
      </c>
      <c r="K174" s="16">
        <v>0</v>
      </c>
      <c r="L174" s="98">
        <f t="shared" si="41"/>
        <v>0</v>
      </c>
      <c r="M174" s="16">
        <v>11</v>
      </c>
      <c r="N174" s="16">
        <v>4</v>
      </c>
      <c r="O174" s="16">
        <v>0</v>
      </c>
      <c r="P174" s="16">
        <v>2</v>
      </c>
      <c r="Q174" s="16">
        <v>3</v>
      </c>
      <c r="R174" s="16">
        <v>10</v>
      </c>
    </row>
    <row r="175" spans="1:18" x14ac:dyDescent="0.25">
      <c r="A175" s="71">
        <v>42246</v>
      </c>
      <c r="B175" s="20"/>
      <c r="C175" s="15" t="s">
        <v>122</v>
      </c>
      <c r="D175" s="16">
        <v>4</v>
      </c>
      <c r="E175" s="16">
        <v>8</v>
      </c>
      <c r="F175" s="98">
        <f t="shared" si="39"/>
        <v>0.5</v>
      </c>
      <c r="G175" s="16">
        <v>0</v>
      </c>
      <c r="H175" s="16">
        <v>0</v>
      </c>
      <c r="I175" s="98">
        <f t="shared" si="40"/>
        <v>0</v>
      </c>
      <c r="J175" s="16">
        <v>5</v>
      </c>
      <c r="K175" s="16">
        <v>6</v>
      </c>
      <c r="L175" s="98">
        <f t="shared" si="41"/>
        <v>0.83333333333333337</v>
      </c>
      <c r="M175" s="16">
        <v>7</v>
      </c>
      <c r="N175" s="16">
        <v>2</v>
      </c>
      <c r="O175" s="16">
        <v>1</v>
      </c>
      <c r="P175" s="16">
        <v>0</v>
      </c>
      <c r="Q175" s="16">
        <v>9</v>
      </c>
      <c r="R175" s="16">
        <v>13</v>
      </c>
    </row>
    <row r="176" spans="1:18" x14ac:dyDescent="0.25">
      <c r="A176" s="71">
        <v>42248</v>
      </c>
      <c r="B176" s="20"/>
      <c r="C176" s="15" t="s">
        <v>39</v>
      </c>
      <c r="D176" s="16">
        <v>5</v>
      </c>
      <c r="E176" s="16">
        <v>14</v>
      </c>
      <c r="F176" s="100">
        <f t="shared" ref="F176:F187" si="42">IF(E176=0,0,D176/E176)</f>
        <v>0.35714285714285715</v>
      </c>
      <c r="G176" s="16">
        <v>2</v>
      </c>
      <c r="H176" s="16">
        <v>9</v>
      </c>
      <c r="I176" s="100">
        <f t="shared" ref="I176:I187" si="43">IF(H176=0,0,G176/H176)</f>
        <v>0.22222222222222221</v>
      </c>
      <c r="J176" s="16">
        <v>1</v>
      </c>
      <c r="K176" s="16">
        <v>1</v>
      </c>
      <c r="L176" s="100">
        <f t="shared" ref="L176:L187" si="44">IF(K176=0,0,J176/K176)</f>
        <v>1</v>
      </c>
      <c r="M176" s="16">
        <v>1</v>
      </c>
      <c r="N176" s="16">
        <v>2</v>
      </c>
      <c r="O176" s="16">
        <v>1</v>
      </c>
      <c r="P176" s="16">
        <v>0</v>
      </c>
      <c r="Q176" s="16">
        <v>0</v>
      </c>
      <c r="R176" s="16">
        <v>13</v>
      </c>
    </row>
    <row r="177" spans="1:18" x14ac:dyDescent="0.25">
      <c r="A177" s="71">
        <v>42249</v>
      </c>
      <c r="B177" s="20"/>
      <c r="C177" s="15" t="s">
        <v>122</v>
      </c>
      <c r="D177" s="16">
        <v>6</v>
      </c>
      <c r="E177" s="16">
        <v>8</v>
      </c>
      <c r="F177" s="100">
        <f t="shared" si="42"/>
        <v>0.75</v>
      </c>
      <c r="G177" s="16">
        <v>0</v>
      </c>
      <c r="H177" s="16">
        <v>0</v>
      </c>
      <c r="I177" s="100">
        <f t="shared" si="43"/>
        <v>0</v>
      </c>
      <c r="J177" s="16">
        <v>4</v>
      </c>
      <c r="K177" s="16">
        <v>4</v>
      </c>
      <c r="L177" s="100">
        <f t="shared" si="44"/>
        <v>1</v>
      </c>
      <c r="M177" s="16">
        <v>2</v>
      </c>
      <c r="N177" s="16">
        <v>0</v>
      </c>
      <c r="O177" s="16">
        <v>1</v>
      </c>
      <c r="P177" s="16">
        <v>3</v>
      </c>
      <c r="Q177" s="16">
        <v>1</v>
      </c>
      <c r="R177" s="16">
        <v>16</v>
      </c>
    </row>
    <row r="178" spans="1:18" x14ac:dyDescent="0.25">
      <c r="A178" s="71">
        <v>42250</v>
      </c>
      <c r="B178" s="20"/>
      <c r="C178" s="15" t="s">
        <v>35</v>
      </c>
      <c r="D178" s="16">
        <v>2</v>
      </c>
      <c r="E178" s="16">
        <v>9</v>
      </c>
      <c r="F178" s="100">
        <f t="shared" si="42"/>
        <v>0.22222222222222221</v>
      </c>
      <c r="G178" s="16">
        <v>1</v>
      </c>
      <c r="H178" s="16">
        <v>5</v>
      </c>
      <c r="I178" s="100">
        <f t="shared" si="43"/>
        <v>0.2</v>
      </c>
      <c r="J178" s="16">
        <v>5</v>
      </c>
      <c r="K178" s="16">
        <v>7</v>
      </c>
      <c r="L178" s="100">
        <f t="shared" si="44"/>
        <v>0.7142857142857143</v>
      </c>
      <c r="M178" s="16">
        <v>8</v>
      </c>
      <c r="N178" s="16">
        <v>3</v>
      </c>
      <c r="O178" s="16">
        <v>1</v>
      </c>
      <c r="P178" s="16">
        <v>1</v>
      </c>
      <c r="Q178" s="16">
        <v>0</v>
      </c>
      <c r="R178" s="16">
        <v>10</v>
      </c>
    </row>
    <row r="179" spans="1:18" x14ac:dyDescent="0.25">
      <c r="A179" s="71">
        <v>42250</v>
      </c>
      <c r="B179" s="20"/>
      <c r="C179" s="15" t="s">
        <v>37</v>
      </c>
      <c r="D179" s="16">
        <v>9</v>
      </c>
      <c r="E179" s="16">
        <v>16</v>
      </c>
      <c r="F179" s="100">
        <f t="shared" si="42"/>
        <v>0.5625</v>
      </c>
      <c r="G179" s="16">
        <v>1</v>
      </c>
      <c r="H179" s="16">
        <v>3</v>
      </c>
      <c r="I179" s="100">
        <f t="shared" si="43"/>
        <v>0.33333333333333331</v>
      </c>
      <c r="J179" s="16">
        <v>7</v>
      </c>
      <c r="K179" s="16">
        <v>9</v>
      </c>
      <c r="L179" s="100">
        <f t="shared" si="44"/>
        <v>0.77777777777777779</v>
      </c>
      <c r="M179" s="16">
        <v>11</v>
      </c>
      <c r="N179" s="16">
        <v>6</v>
      </c>
      <c r="O179" s="16">
        <v>1</v>
      </c>
      <c r="P179" s="16">
        <v>2</v>
      </c>
      <c r="Q179" s="16">
        <v>1</v>
      </c>
      <c r="R179" s="16">
        <v>26</v>
      </c>
    </row>
    <row r="180" spans="1:18" x14ac:dyDescent="0.25">
      <c r="A180" s="71">
        <v>42250</v>
      </c>
      <c r="B180" s="20"/>
      <c r="C180" s="15" t="s">
        <v>150</v>
      </c>
      <c r="D180" s="16">
        <v>5</v>
      </c>
      <c r="E180" s="16">
        <v>7</v>
      </c>
      <c r="F180" s="100">
        <f t="shared" si="42"/>
        <v>0.7142857142857143</v>
      </c>
      <c r="G180" s="16">
        <v>1</v>
      </c>
      <c r="H180" s="16">
        <v>3</v>
      </c>
      <c r="I180" s="100">
        <f t="shared" si="43"/>
        <v>0.33333333333333331</v>
      </c>
      <c r="J180" s="16">
        <v>5</v>
      </c>
      <c r="K180" s="16">
        <v>6</v>
      </c>
      <c r="L180" s="100">
        <f t="shared" si="44"/>
        <v>0.83333333333333337</v>
      </c>
      <c r="M180" s="16">
        <v>1</v>
      </c>
      <c r="N180" s="16">
        <v>1</v>
      </c>
      <c r="O180" s="16">
        <v>1</v>
      </c>
      <c r="P180" s="16">
        <v>1</v>
      </c>
      <c r="Q180" s="16">
        <v>0</v>
      </c>
      <c r="R180" s="16">
        <v>16</v>
      </c>
    </row>
    <row r="181" spans="1:18" x14ac:dyDescent="0.25">
      <c r="A181" s="71">
        <v>42251</v>
      </c>
      <c r="B181" s="20"/>
      <c r="C181" s="15" t="s">
        <v>38</v>
      </c>
      <c r="D181" s="16">
        <v>7</v>
      </c>
      <c r="E181" s="16">
        <v>10</v>
      </c>
      <c r="F181" s="100">
        <f t="shared" si="42"/>
        <v>0.7</v>
      </c>
      <c r="G181" s="16">
        <v>0</v>
      </c>
      <c r="H181" s="16">
        <v>0</v>
      </c>
      <c r="I181" s="100">
        <f t="shared" si="43"/>
        <v>0</v>
      </c>
      <c r="J181" s="16">
        <v>0</v>
      </c>
      <c r="K181" s="16">
        <v>0</v>
      </c>
      <c r="L181" s="100">
        <f t="shared" si="44"/>
        <v>0</v>
      </c>
      <c r="M181" s="16">
        <v>11</v>
      </c>
      <c r="N181" s="16">
        <v>1</v>
      </c>
      <c r="O181" s="16">
        <v>1</v>
      </c>
      <c r="P181" s="16">
        <v>2</v>
      </c>
      <c r="Q181" s="16">
        <v>0</v>
      </c>
      <c r="R181" s="16">
        <v>14</v>
      </c>
    </row>
    <row r="182" spans="1:18" x14ac:dyDescent="0.25">
      <c r="A182" s="71">
        <v>42252</v>
      </c>
      <c r="B182" s="20"/>
      <c r="C182" s="15" t="s">
        <v>122</v>
      </c>
      <c r="D182" s="16">
        <v>8</v>
      </c>
      <c r="E182" s="16">
        <v>9</v>
      </c>
      <c r="F182" s="101">
        <f t="shared" si="42"/>
        <v>0.88888888888888884</v>
      </c>
      <c r="G182" s="16">
        <v>0</v>
      </c>
      <c r="H182" s="16">
        <v>0</v>
      </c>
      <c r="I182" s="101">
        <f t="shared" si="43"/>
        <v>0</v>
      </c>
      <c r="J182" s="16">
        <v>6</v>
      </c>
      <c r="K182" s="16">
        <v>8</v>
      </c>
      <c r="L182" s="101">
        <f t="shared" si="44"/>
        <v>0.75</v>
      </c>
      <c r="M182" s="16">
        <v>5</v>
      </c>
      <c r="N182" s="16">
        <v>2</v>
      </c>
      <c r="O182" s="16">
        <v>0</v>
      </c>
      <c r="P182" s="16">
        <v>2</v>
      </c>
      <c r="Q182" s="16">
        <v>2</v>
      </c>
      <c r="R182" s="16">
        <v>22</v>
      </c>
    </row>
    <row r="183" spans="1:18" x14ac:dyDescent="0.25">
      <c r="A183" s="71">
        <v>42253</v>
      </c>
      <c r="B183" s="20"/>
      <c r="C183" s="15" t="s">
        <v>35</v>
      </c>
      <c r="D183" s="16">
        <v>1</v>
      </c>
      <c r="E183" s="16">
        <v>5</v>
      </c>
      <c r="F183" s="101">
        <f t="shared" si="42"/>
        <v>0.2</v>
      </c>
      <c r="G183" s="16">
        <v>1</v>
      </c>
      <c r="H183" s="16">
        <v>2</v>
      </c>
      <c r="I183" s="101">
        <f t="shared" si="43"/>
        <v>0.5</v>
      </c>
      <c r="J183" s="16">
        <v>5</v>
      </c>
      <c r="K183" s="16">
        <v>6</v>
      </c>
      <c r="L183" s="101">
        <f t="shared" si="44"/>
        <v>0.83333333333333337</v>
      </c>
      <c r="M183" s="16">
        <v>5</v>
      </c>
      <c r="N183" s="16">
        <v>0</v>
      </c>
      <c r="O183" s="16">
        <v>1</v>
      </c>
      <c r="P183" s="16">
        <v>1</v>
      </c>
      <c r="Q183" s="16">
        <v>0</v>
      </c>
      <c r="R183" s="16">
        <v>8</v>
      </c>
    </row>
    <row r="184" spans="1:18" x14ac:dyDescent="0.25">
      <c r="A184" s="71">
        <v>42253</v>
      </c>
      <c r="B184" s="20"/>
      <c r="C184" s="15" t="s">
        <v>150</v>
      </c>
      <c r="D184" s="16">
        <v>3</v>
      </c>
      <c r="E184" s="16">
        <v>4</v>
      </c>
      <c r="F184" s="101">
        <f t="shared" si="42"/>
        <v>0.75</v>
      </c>
      <c r="G184" s="16">
        <v>0</v>
      </c>
      <c r="H184" s="16">
        <v>1</v>
      </c>
      <c r="I184" s="101">
        <f t="shared" si="43"/>
        <v>0</v>
      </c>
      <c r="J184" s="16">
        <v>4</v>
      </c>
      <c r="K184" s="16">
        <v>6</v>
      </c>
      <c r="L184" s="101">
        <f t="shared" si="44"/>
        <v>0.66666666666666663</v>
      </c>
      <c r="M184" s="16">
        <v>2</v>
      </c>
      <c r="N184" s="16">
        <v>1</v>
      </c>
      <c r="O184" s="16">
        <v>0</v>
      </c>
      <c r="P184" s="16">
        <v>1</v>
      </c>
      <c r="Q184" s="16">
        <v>0</v>
      </c>
      <c r="R184" s="16">
        <v>10</v>
      </c>
    </row>
    <row r="185" spans="1:18" x14ac:dyDescent="0.25">
      <c r="A185" s="71">
        <v>42253</v>
      </c>
      <c r="B185" s="20"/>
      <c r="C185" s="15" t="s">
        <v>38</v>
      </c>
      <c r="D185" s="16">
        <v>3</v>
      </c>
      <c r="E185" s="16">
        <v>4</v>
      </c>
      <c r="F185" s="101">
        <f t="shared" si="42"/>
        <v>0.75</v>
      </c>
      <c r="G185" s="16">
        <v>0</v>
      </c>
      <c r="H185" s="16">
        <v>0</v>
      </c>
      <c r="I185" s="101">
        <f t="shared" si="43"/>
        <v>0</v>
      </c>
      <c r="J185" s="16">
        <v>0</v>
      </c>
      <c r="K185" s="16">
        <v>0</v>
      </c>
      <c r="L185" s="101">
        <f t="shared" si="44"/>
        <v>0</v>
      </c>
      <c r="M185" s="16">
        <v>9</v>
      </c>
      <c r="N185" s="16">
        <v>3</v>
      </c>
      <c r="O185" s="16">
        <v>1</v>
      </c>
      <c r="P185" s="16">
        <v>1</v>
      </c>
      <c r="Q185" s="16">
        <v>0</v>
      </c>
      <c r="R185" s="16">
        <v>6</v>
      </c>
    </row>
    <row r="186" spans="1:18" x14ac:dyDescent="0.25">
      <c r="A186" s="71">
        <v>42253</v>
      </c>
      <c r="B186" s="20"/>
      <c r="C186" s="15" t="s">
        <v>37</v>
      </c>
      <c r="D186" s="16">
        <v>12</v>
      </c>
      <c r="E186" s="16">
        <v>17</v>
      </c>
      <c r="F186" s="101">
        <f t="shared" si="42"/>
        <v>0.70588235294117652</v>
      </c>
      <c r="G186" s="16">
        <v>5</v>
      </c>
      <c r="H186" s="16">
        <v>8</v>
      </c>
      <c r="I186" s="101">
        <f t="shared" si="43"/>
        <v>0.625</v>
      </c>
      <c r="J186" s="16">
        <v>4</v>
      </c>
      <c r="K186" s="16">
        <v>4</v>
      </c>
      <c r="L186" s="101">
        <f t="shared" si="44"/>
        <v>1</v>
      </c>
      <c r="M186" s="16">
        <v>8</v>
      </c>
      <c r="N186" s="16">
        <v>5</v>
      </c>
      <c r="O186" s="16">
        <v>0</v>
      </c>
      <c r="P186" s="16">
        <v>0</v>
      </c>
      <c r="Q186" s="16">
        <v>1</v>
      </c>
      <c r="R186" s="16">
        <v>33</v>
      </c>
    </row>
    <row r="187" spans="1:18" x14ac:dyDescent="0.25">
      <c r="A187" s="71">
        <v>42253</v>
      </c>
      <c r="B187" s="20"/>
      <c r="C187" s="15" t="s">
        <v>39</v>
      </c>
      <c r="D187" s="16">
        <v>2</v>
      </c>
      <c r="E187" s="16">
        <v>8</v>
      </c>
      <c r="F187" s="101">
        <f t="shared" si="42"/>
        <v>0.25</v>
      </c>
      <c r="G187" s="16">
        <v>0</v>
      </c>
      <c r="H187" s="16">
        <v>3</v>
      </c>
      <c r="I187" s="101">
        <f t="shared" si="43"/>
        <v>0</v>
      </c>
      <c r="J187" s="16">
        <v>3</v>
      </c>
      <c r="K187" s="16">
        <v>3</v>
      </c>
      <c r="L187" s="101">
        <f t="shared" si="44"/>
        <v>1</v>
      </c>
      <c r="M187" s="16">
        <v>4</v>
      </c>
      <c r="N187" s="16">
        <v>3</v>
      </c>
      <c r="O187" s="16">
        <v>1</v>
      </c>
      <c r="P187" s="16">
        <v>2</v>
      </c>
      <c r="Q187" s="16">
        <v>0</v>
      </c>
      <c r="R187" s="16">
        <v>7</v>
      </c>
    </row>
    <row r="188" spans="1:18" x14ac:dyDescent="0.25">
      <c r="A188" s="21">
        <v>42255</v>
      </c>
      <c r="B188" s="20"/>
      <c r="C188" s="15" t="s">
        <v>38</v>
      </c>
      <c r="D188" s="16">
        <v>2</v>
      </c>
      <c r="E188" s="16">
        <v>8</v>
      </c>
      <c r="F188" s="109">
        <f t="shared" ref="F188:F195" si="45">IF(E188=0,0,D188/E188)</f>
        <v>0.25</v>
      </c>
      <c r="G188" s="16">
        <v>0</v>
      </c>
      <c r="H188" s="16">
        <v>0</v>
      </c>
      <c r="I188" s="109">
        <f t="shared" ref="I188:I195" si="46">IF(H188=0,0,G188/H188)</f>
        <v>0</v>
      </c>
      <c r="J188" s="16">
        <v>1</v>
      </c>
      <c r="K188" s="16">
        <v>2</v>
      </c>
      <c r="L188" s="109">
        <f t="shared" ref="L188:L195" si="47">IF(K188=0,0,J188/K188)</f>
        <v>0.5</v>
      </c>
      <c r="M188" s="16">
        <v>8</v>
      </c>
      <c r="N188" s="16">
        <v>3</v>
      </c>
      <c r="O188" s="16">
        <v>0</v>
      </c>
      <c r="P188" s="16">
        <v>2</v>
      </c>
      <c r="Q188" s="16">
        <v>0</v>
      </c>
      <c r="R188" s="16">
        <v>5</v>
      </c>
    </row>
    <row r="189" spans="1:18" x14ac:dyDescent="0.25">
      <c r="A189" s="21">
        <v>42255</v>
      </c>
      <c r="B189" s="20"/>
      <c r="C189" s="15" t="s">
        <v>35</v>
      </c>
      <c r="D189" s="16">
        <v>1</v>
      </c>
      <c r="E189" s="16">
        <v>3</v>
      </c>
      <c r="F189" s="109">
        <f t="shared" si="45"/>
        <v>0.33333333333333331</v>
      </c>
      <c r="G189" s="16">
        <v>0</v>
      </c>
      <c r="H189" s="16">
        <v>1</v>
      </c>
      <c r="I189" s="109">
        <f t="shared" si="46"/>
        <v>0</v>
      </c>
      <c r="J189" s="16">
        <v>0</v>
      </c>
      <c r="K189" s="16">
        <v>0</v>
      </c>
      <c r="L189" s="109">
        <f t="shared" si="47"/>
        <v>0</v>
      </c>
      <c r="M189" s="16">
        <v>0</v>
      </c>
      <c r="N189" s="16">
        <v>1</v>
      </c>
      <c r="O189" s="16">
        <v>0</v>
      </c>
      <c r="P189" s="16">
        <v>0</v>
      </c>
      <c r="Q189" s="16">
        <v>0</v>
      </c>
      <c r="R189" s="16">
        <v>2</v>
      </c>
    </row>
    <row r="190" spans="1:18" x14ac:dyDescent="0.25">
      <c r="A190" s="21">
        <v>42256</v>
      </c>
      <c r="B190" s="20"/>
      <c r="C190" s="15" t="s">
        <v>150</v>
      </c>
      <c r="D190" s="16">
        <v>5</v>
      </c>
      <c r="E190" s="16">
        <v>11</v>
      </c>
      <c r="F190" s="109">
        <f t="shared" si="45"/>
        <v>0.45454545454545453</v>
      </c>
      <c r="G190" s="16">
        <v>2</v>
      </c>
      <c r="H190" s="16">
        <v>4</v>
      </c>
      <c r="I190" s="109">
        <f t="shared" si="46"/>
        <v>0.5</v>
      </c>
      <c r="J190" s="16">
        <v>1</v>
      </c>
      <c r="K190" s="16">
        <v>2</v>
      </c>
      <c r="L190" s="109">
        <f t="shared" si="47"/>
        <v>0.5</v>
      </c>
      <c r="M190" s="16">
        <v>4</v>
      </c>
      <c r="N190" s="16">
        <v>8</v>
      </c>
      <c r="O190" s="16">
        <v>4</v>
      </c>
      <c r="P190" s="16">
        <v>3</v>
      </c>
      <c r="Q190" s="16">
        <v>0</v>
      </c>
      <c r="R190" s="16">
        <v>13</v>
      </c>
    </row>
    <row r="191" spans="1:18" x14ac:dyDescent="0.25">
      <c r="A191" s="21">
        <v>42256</v>
      </c>
      <c r="B191" s="20"/>
      <c r="C191" s="15" t="s">
        <v>39</v>
      </c>
      <c r="D191" s="16">
        <v>5</v>
      </c>
      <c r="E191" s="16">
        <v>15</v>
      </c>
      <c r="F191" s="109">
        <f t="shared" si="45"/>
        <v>0.33333333333333331</v>
      </c>
      <c r="G191" s="16">
        <v>5</v>
      </c>
      <c r="H191" s="16">
        <v>11</v>
      </c>
      <c r="I191" s="109">
        <f t="shared" si="46"/>
        <v>0.45454545454545453</v>
      </c>
      <c r="J191" s="16">
        <v>0</v>
      </c>
      <c r="K191" s="16">
        <v>0</v>
      </c>
      <c r="L191" s="109">
        <f t="shared" si="47"/>
        <v>0</v>
      </c>
      <c r="M191" s="16">
        <v>3</v>
      </c>
      <c r="N191" s="16">
        <v>5</v>
      </c>
      <c r="O191" s="16">
        <v>4</v>
      </c>
      <c r="P191" s="16">
        <v>3</v>
      </c>
      <c r="Q191" s="16">
        <v>0</v>
      </c>
      <c r="R191" s="16">
        <v>15</v>
      </c>
    </row>
    <row r="192" spans="1:18" x14ac:dyDescent="0.25">
      <c r="A192" s="21">
        <v>42258</v>
      </c>
      <c r="B192" s="20"/>
      <c r="C192" s="15" t="s">
        <v>122</v>
      </c>
      <c r="D192" s="16">
        <v>5</v>
      </c>
      <c r="E192" s="16">
        <v>11</v>
      </c>
      <c r="F192" s="121">
        <f t="shared" si="45"/>
        <v>0.45454545454545453</v>
      </c>
      <c r="G192" s="16">
        <v>0</v>
      </c>
      <c r="H192" s="16">
        <v>0</v>
      </c>
      <c r="I192" s="121">
        <f t="shared" si="46"/>
        <v>0</v>
      </c>
      <c r="J192" s="16">
        <v>6</v>
      </c>
      <c r="K192" s="16">
        <v>11</v>
      </c>
      <c r="L192" s="121">
        <f t="shared" si="47"/>
        <v>0.54545454545454541</v>
      </c>
      <c r="M192" s="16">
        <v>5</v>
      </c>
      <c r="N192" s="16">
        <v>0</v>
      </c>
      <c r="O192" s="16">
        <v>1</v>
      </c>
      <c r="P192" s="16">
        <v>2</v>
      </c>
      <c r="Q192" s="16">
        <v>2</v>
      </c>
      <c r="R192" s="16">
        <v>16</v>
      </c>
    </row>
    <row r="193" spans="1:18" x14ac:dyDescent="0.25">
      <c r="A193" s="21">
        <v>42258</v>
      </c>
      <c r="B193" s="20"/>
      <c r="C193" s="15" t="s">
        <v>39</v>
      </c>
      <c r="D193" s="16">
        <v>2</v>
      </c>
      <c r="E193" s="16">
        <v>8</v>
      </c>
      <c r="F193" s="121">
        <f t="shared" si="45"/>
        <v>0.25</v>
      </c>
      <c r="G193" s="16">
        <v>1</v>
      </c>
      <c r="H193" s="16">
        <v>4</v>
      </c>
      <c r="I193" s="121">
        <f t="shared" si="46"/>
        <v>0.25</v>
      </c>
      <c r="J193" s="16">
        <v>0</v>
      </c>
      <c r="K193" s="16">
        <v>0</v>
      </c>
      <c r="L193" s="121">
        <f t="shared" si="47"/>
        <v>0</v>
      </c>
      <c r="M193" s="16">
        <v>2</v>
      </c>
      <c r="N193" s="16">
        <v>2</v>
      </c>
      <c r="O193" s="16">
        <v>0</v>
      </c>
      <c r="P193" s="16">
        <v>5</v>
      </c>
      <c r="Q193" s="16">
        <v>0</v>
      </c>
      <c r="R193" s="16">
        <v>5</v>
      </c>
    </row>
    <row r="194" spans="1:18" x14ac:dyDescent="0.25">
      <c r="A194" s="21">
        <v>42258</v>
      </c>
      <c r="B194" s="20"/>
      <c r="C194" s="15" t="s">
        <v>38</v>
      </c>
      <c r="D194" s="16">
        <v>0</v>
      </c>
      <c r="E194" s="16">
        <v>1</v>
      </c>
      <c r="F194" s="121">
        <f t="shared" si="45"/>
        <v>0</v>
      </c>
      <c r="G194" s="16">
        <v>0</v>
      </c>
      <c r="H194" s="16">
        <v>0</v>
      </c>
      <c r="I194" s="121">
        <f t="shared" si="46"/>
        <v>0</v>
      </c>
      <c r="J194" s="16">
        <v>0</v>
      </c>
      <c r="K194" s="16">
        <v>0</v>
      </c>
      <c r="L194" s="121">
        <f t="shared" si="47"/>
        <v>0</v>
      </c>
      <c r="M194" s="16">
        <v>2</v>
      </c>
      <c r="N194" s="16">
        <v>1</v>
      </c>
      <c r="O194" s="16">
        <v>0</v>
      </c>
      <c r="P194" s="16">
        <v>1</v>
      </c>
      <c r="Q194" s="16">
        <v>0</v>
      </c>
      <c r="R194" s="16">
        <v>0</v>
      </c>
    </row>
    <row r="195" spans="1:18" x14ac:dyDescent="0.25">
      <c r="A195" s="73">
        <v>42260</v>
      </c>
      <c r="B195" s="20"/>
      <c r="C195" s="15" t="s">
        <v>39</v>
      </c>
      <c r="D195" s="16">
        <v>2</v>
      </c>
      <c r="E195" s="16">
        <v>7</v>
      </c>
      <c r="F195" s="121">
        <f t="shared" si="45"/>
        <v>0.2857142857142857</v>
      </c>
      <c r="G195" s="16">
        <v>2</v>
      </c>
      <c r="H195" s="16">
        <v>4</v>
      </c>
      <c r="I195" s="121">
        <f t="shared" si="46"/>
        <v>0.5</v>
      </c>
      <c r="J195" s="16">
        <v>0</v>
      </c>
      <c r="K195" s="16">
        <v>0</v>
      </c>
      <c r="L195" s="121">
        <f t="shared" si="47"/>
        <v>0</v>
      </c>
      <c r="M195" s="16">
        <v>1</v>
      </c>
      <c r="N195" s="16">
        <v>3</v>
      </c>
      <c r="O195" s="16">
        <v>1</v>
      </c>
      <c r="P195" s="16">
        <v>2</v>
      </c>
      <c r="Q195" s="16">
        <v>0</v>
      </c>
      <c r="R195" s="16">
        <v>6</v>
      </c>
    </row>
    <row r="197" spans="1:18" x14ac:dyDescent="0.25">
      <c r="A197" s="6" t="s">
        <v>17</v>
      </c>
      <c r="D197" s="6">
        <f>SUBTOTAL(109,rokky10Stats[FGM])</f>
        <v>777</v>
      </c>
      <c r="E197" s="6">
        <f>SUBTOTAL(109,rokky10Stats[FGA])</f>
        <v>1735</v>
      </c>
      <c r="F197" s="7">
        <f>rokky10Stats[[#Totals],[FGM]]/rokky10Stats[[#Totals],[FGA]]</f>
        <v>0.44783861671469738</v>
      </c>
      <c r="G197" s="6">
        <f>SUBTOTAL(109,rokky10Stats[3-PT FGM])</f>
        <v>129</v>
      </c>
      <c r="H197" s="6">
        <f>SUBTOTAL(109,rokky10Stats[3-PT FGA])</f>
        <v>373</v>
      </c>
      <c r="I197" s="7">
        <f>rokky10Stats[[#Totals],[3-PT FGM]]/rokky10Stats[[#Totals],[3-PT FGA]]</f>
        <v>0.34584450402144773</v>
      </c>
      <c r="J197" s="6">
        <f>SUBTOTAL(109,rokky10Stats[FTM])</f>
        <v>455</v>
      </c>
      <c r="K197" s="6">
        <f>SUBTOTAL(109,rokky10Stats[FTA])</f>
        <v>577</v>
      </c>
      <c r="L197" s="7">
        <f>rokky10Stats[[#Totals],[FTM]]/rokky10Stats[[#Totals],[FTA]]</f>
        <v>0.78856152512998268</v>
      </c>
      <c r="M197" s="6">
        <f>SUBTOTAL(109,rokky10Stats[REB])</f>
        <v>1039</v>
      </c>
      <c r="N197" s="6">
        <f>SUBTOTAL(109,rokky10Stats[AST])</f>
        <v>444</v>
      </c>
      <c r="O197" s="6">
        <f>SUBTOTAL(109,rokky10Stats[STL])</f>
        <v>183</v>
      </c>
      <c r="P197" s="6">
        <f>SUBTOTAL(109,rokky10Stats[TO])</f>
        <v>334</v>
      </c>
      <c r="Q197" s="6">
        <f>SUBTOTAL(109,rokky10Stats[BLK])</f>
        <v>183</v>
      </c>
      <c r="R197" s="6">
        <f>SUBTOTAL(109,rokky10Stats[PTS])</f>
        <v>2138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myrtle</vt:lpstr>
      <vt:lpstr>lynxmania</vt:lpstr>
      <vt:lpstr>tbinta</vt:lpstr>
      <vt:lpstr>idchafee</vt:lpstr>
      <vt:lpstr>lumes</vt:lpstr>
      <vt:lpstr>cardinal</vt:lpstr>
      <vt:lpstr>hangtyme</vt:lpstr>
      <vt:lpstr>jspoon</vt:lpstr>
      <vt:lpstr>jlight</vt:lpstr>
      <vt:lpstr>souyouthink</vt:lpstr>
      <vt:lpstr>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Ian Chafee</cp:lastModifiedBy>
  <dcterms:created xsi:type="dcterms:W3CDTF">2008-11-30T19:51:37Z</dcterms:created>
  <dcterms:modified xsi:type="dcterms:W3CDTF">2015-09-15T02:35:46Z</dcterms:modified>
</cp:coreProperties>
</file>